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1" activeTab="0"/>
  </bookViews>
  <sheets>
    <sheet name="Am-241" sheetId="1" r:id="rId1"/>
    <sheet name="Cs-137+D" sheetId="2" r:id="rId2"/>
    <sheet name="Ra-226" sheetId="3" r:id="rId3"/>
    <sheet name="Rn-222+D" sheetId="4" r:id="rId4"/>
  </sheets>
  <definedNames/>
  <calcPr fullCalcOnLoad="1"/>
</workbook>
</file>

<file path=xl/sharedStrings.xml><?xml version="1.0" encoding="utf-8"?>
<sst xmlns="http://schemas.openxmlformats.org/spreadsheetml/2006/main" count="6115" uniqueCount="344">
  <si>
    <t>Resident</t>
  </si>
  <si>
    <t>Am-241</t>
  </si>
  <si>
    <t>Worker</t>
  </si>
  <si>
    <t>outdoor</t>
  </si>
  <si>
    <t>Recreator</t>
  </si>
  <si>
    <t>indoor</t>
  </si>
  <si>
    <t>outdor</t>
  </si>
  <si>
    <t>composite worker</t>
  </si>
  <si>
    <t>recreator</t>
  </si>
  <si>
    <t>farmer</t>
  </si>
  <si>
    <t>external</t>
  </si>
  <si>
    <t>soil volume</t>
  </si>
  <si>
    <t>15cm</t>
  </si>
  <si>
    <t>15 cm</t>
  </si>
  <si>
    <t>PRG</t>
  </si>
  <si>
    <t>partitioning</t>
  </si>
  <si>
    <t>air</t>
  </si>
  <si>
    <t>pCi/m^3</t>
  </si>
  <si>
    <t>tapwater</t>
  </si>
  <si>
    <t>pCi/L</t>
  </si>
  <si>
    <t>surface water</t>
  </si>
  <si>
    <t>soil</t>
  </si>
  <si>
    <t>pCi/g</t>
  </si>
  <si>
    <t>Game-direct</t>
  </si>
  <si>
    <t>Game-soil</t>
  </si>
  <si>
    <t>Game-water</t>
  </si>
  <si>
    <t>Soil</t>
  </si>
  <si>
    <t>Biota</t>
  </si>
  <si>
    <t>Water</t>
  </si>
  <si>
    <t>resident</t>
  </si>
  <si>
    <t>worker</t>
  </si>
  <si>
    <t>composite</t>
  </si>
  <si>
    <t>Soil 2 gw</t>
  </si>
  <si>
    <t>no decay</t>
  </si>
  <si>
    <t>correct</t>
  </si>
  <si>
    <t>decay</t>
  </si>
  <si>
    <t>PRG 1E-06</t>
  </si>
  <si>
    <t>mcl based</t>
  </si>
  <si>
    <t>indoor worker</t>
  </si>
  <si>
    <t>outdoor worker</t>
  </si>
  <si>
    <t>Farmer</t>
  </si>
  <si>
    <t>2-D</t>
  </si>
  <si>
    <t>risk based</t>
  </si>
  <si>
    <t>TR</t>
  </si>
  <si>
    <t>TF game</t>
  </si>
  <si>
    <t>MCL</t>
  </si>
  <si>
    <t>lambda</t>
  </si>
  <si>
    <t>EF</t>
  </si>
  <si>
    <t>days/year</t>
  </si>
  <si>
    <t>g/mg</t>
  </si>
  <si>
    <t>ED</t>
  </si>
  <si>
    <t>TF fowl</t>
  </si>
  <si>
    <t>t</t>
  </si>
  <si>
    <t>yr</t>
  </si>
  <si>
    <t>day/yr</t>
  </si>
  <si>
    <t>SF oral</t>
  </si>
  <si>
    <t>risk/pCi</t>
  </si>
  <si>
    <t>SF imm</t>
  </si>
  <si>
    <t>SF food</t>
  </si>
  <si>
    <t>EF iw</t>
  </si>
  <si>
    <t>EF ow</t>
  </si>
  <si>
    <t>EF ew</t>
  </si>
  <si>
    <t>Qp-game</t>
  </si>
  <si>
    <t>Qw-fowl</t>
  </si>
  <si>
    <t>IFW adj</t>
  </si>
  <si>
    <t>L/day</t>
  </si>
  <si>
    <t>SF w</t>
  </si>
  <si>
    <t>EF rec</t>
  </si>
  <si>
    <t>SF soil</t>
  </si>
  <si>
    <t>Qs-game</t>
  </si>
  <si>
    <t>Qw-game</t>
  </si>
  <si>
    <t>cPF f</t>
  </si>
  <si>
    <t>EF f</t>
  </si>
  <si>
    <t xml:space="preserve">θw = </t>
  </si>
  <si>
    <t>SF inh</t>
  </si>
  <si>
    <t>ED rc</t>
  </si>
  <si>
    <t>years</t>
  </si>
  <si>
    <t>EV rec</t>
  </si>
  <si>
    <t>yrs</t>
  </si>
  <si>
    <t>IRGF</t>
  </si>
  <si>
    <t>f p-game</t>
  </si>
  <si>
    <t xml:space="preserve">ρb = </t>
  </si>
  <si>
    <t>IFA adj</t>
  </si>
  <si>
    <t>m3/day</t>
  </si>
  <si>
    <t>ET wa</t>
  </si>
  <si>
    <t>hrs/day</t>
  </si>
  <si>
    <t>IRW c</t>
  </si>
  <si>
    <t>ET</t>
  </si>
  <si>
    <t>IFS adj</t>
  </si>
  <si>
    <t>mg/day</t>
  </si>
  <si>
    <t>SF ext</t>
  </si>
  <si>
    <t>IR iw</t>
  </si>
  <si>
    <t>IR ow</t>
  </si>
  <si>
    <t>IR w</t>
  </si>
  <si>
    <t>IRGL</t>
  </si>
  <si>
    <t>f s-game</t>
  </si>
  <si>
    <t>PRG fowl</t>
  </si>
  <si>
    <t>IFS f-adj</t>
  </si>
  <si>
    <t>GSFi</t>
  </si>
  <si>
    <t xml:space="preserve">t = </t>
  </si>
  <si>
    <t>IRA child</t>
  </si>
  <si>
    <t>ED r</t>
  </si>
  <si>
    <t>IRA iw</t>
  </si>
  <si>
    <t>Qp-fowl</t>
  </si>
  <si>
    <t>PRG game</t>
  </si>
  <si>
    <t>ED f</t>
  </si>
  <si>
    <t>GSFo</t>
  </si>
  <si>
    <t xml:space="preserve">dil factor = </t>
  </si>
  <si>
    <t>IRA adult</t>
  </si>
  <si>
    <t>IRA ow</t>
  </si>
  <si>
    <t>IRW a</t>
  </si>
  <si>
    <t>ED c</t>
  </si>
  <si>
    <t>ACF</t>
  </si>
  <si>
    <t>GSF</t>
  </si>
  <si>
    <t>Qs-fowl</t>
  </si>
  <si>
    <t>ED f-c</t>
  </si>
  <si>
    <t xml:space="preserve">Kd = </t>
  </si>
  <si>
    <t>ET ra</t>
  </si>
  <si>
    <t>SF sub</t>
  </si>
  <si>
    <t>risk/yer per pCi/m3</t>
  </si>
  <si>
    <t>K</t>
  </si>
  <si>
    <t>L/m^3</t>
  </si>
  <si>
    <t>IRW</t>
  </si>
  <si>
    <t>IRS c</t>
  </si>
  <si>
    <t>ET rec</t>
  </si>
  <si>
    <t>f p-fowl</t>
  </si>
  <si>
    <t>IRS f-c</t>
  </si>
  <si>
    <t>ET o</t>
  </si>
  <si>
    <t>hr/hr</t>
  </si>
  <si>
    <t>hr/day</t>
  </si>
  <si>
    <t>ET w</t>
  </si>
  <si>
    <t xml:space="preserve">hr </t>
  </si>
  <si>
    <t>BW c</t>
  </si>
  <si>
    <t>GSF o</t>
  </si>
  <si>
    <t>risk/yr per pCi/g</t>
  </si>
  <si>
    <t>f s-fowl</t>
  </si>
  <si>
    <t>(risk/yr per pCi/g)</t>
  </si>
  <si>
    <t>DCF ext</t>
  </si>
  <si>
    <t>(mrem/yr per pCi/g)</t>
  </si>
  <si>
    <t>ED child</t>
  </si>
  <si>
    <t>PRG-inh</t>
  </si>
  <si>
    <t>ED ra</t>
  </si>
  <si>
    <t>ED rec</t>
  </si>
  <si>
    <t>PEF</t>
  </si>
  <si>
    <t>m^3/kg</t>
  </si>
  <si>
    <t>bvdry</t>
  </si>
  <si>
    <t>ED f-a</t>
  </si>
  <si>
    <t>ET i</t>
  </si>
  <si>
    <t>ED adult</t>
  </si>
  <si>
    <t>PRG-sub</t>
  </si>
  <si>
    <t>EV c</t>
  </si>
  <si>
    <t>events/day</t>
  </si>
  <si>
    <t>PRG imm</t>
  </si>
  <si>
    <t>IRS a</t>
  </si>
  <si>
    <t>mlf</t>
  </si>
  <si>
    <t>IRS f-a</t>
  </si>
  <si>
    <t>EV a</t>
  </si>
  <si>
    <t>PRG ing</t>
  </si>
  <si>
    <t>BW a</t>
  </si>
  <si>
    <t>IRS rec</t>
  </si>
  <si>
    <t>1cm</t>
  </si>
  <si>
    <t>ground plane</t>
  </si>
  <si>
    <t>1 cm</t>
  </si>
  <si>
    <t>mass balance</t>
  </si>
  <si>
    <r>
      <t>L/cm</t>
    </r>
    <r>
      <rPr>
        <vertAlign val="superscript"/>
        <sz val="10"/>
        <rFont val="Arial"/>
        <family val="2"/>
      </rPr>
      <t>3</t>
    </r>
  </si>
  <si>
    <t>IRA rec</t>
  </si>
  <si>
    <t>CF</t>
  </si>
  <si>
    <t>IFA f-adj</t>
  </si>
  <si>
    <t>pCi/cm^2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</si>
  <si>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/L</t>
    </r>
  </si>
  <si>
    <t>t w</t>
  </si>
  <si>
    <t>IRA f-c</t>
  </si>
  <si>
    <t>ET c</t>
  </si>
  <si>
    <t>hours/event</t>
  </si>
  <si>
    <t>IRA f-a</t>
  </si>
  <si>
    <t>ET a</t>
  </si>
  <si>
    <t>days/yr</t>
  </si>
  <si>
    <t>GSF i</t>
  </si>
  <si>
    <t>g/kg</t>
  </si>
  <si>
    <t>mrem/yr per pCi/g</t>
  </si>
  <si>
    <t>EF r</t>
  </si>
  <si>
    <t>θw</t>
  </si>
  <si>
    <t>fish</t>
  </si>
  <si>
    <t>risk/yr / pCi/L</t>
  </si>
  <si>
    <t>PRG-ing</t>
  </si>
  <si>
    <t>DCF inh</t>
  </si>
  <si>
    <t>mrem/pCi</t>
  </si>
  <si>
    <t>ρb</t>
  </si>
  <si>
    <t>DFA adj</t>
  </si>
  <si>
    <t>bvwet</t>
  </si>
  <si>
    <t>t c-event</t>
  </si>
  <si>
    <t>hr/event</t>
  </si>
  <si>
    <t>PRG-ext</t>
  </si>
  <si>
    <t>ED gw</t>
  </si>
  <si>
    <t>t a-event</t>
  </si>
  <si>
    <t xml:space="preserve">dil factor </t>
  </si>
  <si>
    <t>EV</t>
  </si>
  <si>
    <t>ET f-o</t>
  </si>
  <si>
    <t>Kd</t>
  </si>
  <si>
    <t>(mg/kg-day)^-1</t>
  </si>
  <si>
    <t>day/hr</t>
  </si>
  <si>
    <t>ET f-i</t>
  </si>
  <si>
    <t>m/yr</t>
  </si>
  <si>
    <t>i</t>
  </si>
  <si>
    <t>m/m</t>
  </si>
  <si>
    <t>IRF a</t>
  </si>
  <si>
    <t>PRG-imm</t>
  </si>
  <si>
    <t>ET rs</t>
  </si>
  <si>
    <t>ET f</t>
  </si>
  <si>
    <t>d</t>
  </si>
  <si>
    <t>m</t>
  </si>
  <si>
    <t>PRG-ingp</t>
  </si>
  <si>
    <t>day.hr</t>
  </si>
  <si>
    <t>5cm</t>
  </si>
  <si>
    <t>5 cm</t>
  </si>
  <si>
    <t>I</t>
  </si>
  <si>
    <t>t res</t>
  </si>
  <si>
    <t>t rec</t>
  </si>
  <si>
    <t>t f</t>
  </si>
  <si>
    <t>L</t>
  </si>
  <si>
    <t>d a</t>
  </si>
  <si>
    <t>Irr rup</t>
  </si>
  <si>
    <t>d s</t>
  </si>
  <si>
    <t>surface</t>
  </si>
  <si>
    <t>Irr res</t>
  </si>
  <si>
    <t>water</t>
  </si>
  <si>
    <t>Irr dep</t>
  </si>
  <si>
    <t>ir</t>
  </si>
  <si>
    <t>f</t>
  </si>
  <si>
    <t>Bv wet</t>
  </si>
  <si>
    <t>tb</t>
  </si>
  <si>
    <t>tv</t>
  </si>
  <si>
    <t>PRG-prod</t>
  </si>
  <si>
    <t>tw</t>
  </si>
  <si>
    <t>PRG-fish</t>
  </si>
  <si>
    <t>BCF</t>
  </si>
  <si>
    <t>L/kg</t>
  </si>
  <si>
    <t>EF w</t>
  </si>
  <si>
    <t>yv</t>
  </si>
  <si>
    <t>CPF res</t>
  </si>
  <si>
    <t>PRG-beef</t>
  </si>
  <si>
    <t xml:space="preserve">FI </t>
  </si>
  <si>
    <t>fraction contaminated</t>
  </si>
  <si>
    <t>ED w</t>
  </si>
  <si>
    <t>lambdahl</t>
  </si>
  <si>
    <t>IFF r-adj</t>
  </si>
  <si>
    <t>PRG-milk</t>
  </si>
  <si>
    <t>lambdab</t>
  </si>
  <si>
    <t>IFV r-adj</t>
  </si>
  <si>
    <t>PRG-swine</t>
  </si>
  <si>
    <t>lambdae</t>
  </si>
  <si>
    <t>IRF r-c</t>
  </si>
  <si>
    <t>PRG-poultry</t>
  </si>
  <si>
    <t>p</t>
  </si>
  <si>
    <t>IRF r-a</t>
  </si>
  <si>
    <t>PRG-egg</t>
  </si>
  <si>
    <t>IRA w</t>
  </si>
  <si>
    <t>IRV r-c</t>
  </si>
  <si>
    <t>DF w</t>
  </si>
  <si>
    <t>if</t>
  </si>
  <si>
    <t>IRV r-a</t>
  </si>
  <si>
    <t>As</t>
  </si>
  <si>
    <t>m^2</t>
  </si>
  <si>
    <t>T</t>
  </si>
  <si>
    <t>Aw</t>
  </si>
  <si>
    <t>DCC-inh</t>
  </si>
  <si>
    <t>DCC-sub</t>
  </si>
  <si>
    <t>MLF</t>
  </si>
  <si>
    <t>CPF f</t>
  </si>
  <si>
    <t>IFF f-adj</t>
  </si>
  <si>
    <t>IFV f-adj</t>
  </si>
  <si>
    <t>IRF f-c</t>
  </si>
  <si>
    <t>IRF f-a</t>
  </si>
  <si>
    <t>IRV f-c</t>
  </si>
  <si>
    <t>IRV f-a</t>
  </si>
  <si>
    <t>TF produce</t>
  </si>
  <si>
    <t>unitless</t>
  </si>
  <si>
    <t>TF fodder</t>
  </si>
  <si>
    <t>IRFI f-c</t>
  </si>
  <si>
    <t>kg/yr</t>
  </si>
  <si>
    <t>IRFI f-a</t>
  </si>
  <si>
    <t>sigma</t>
  </si>
  <si>
    <t>S</t>
  </si>
  <si>
    <t>rho</t>
  </si>
  <si>
    <t>kg/L</t>
  </si>
  <si>
    <t>IFFI f-adj</t>
  </si>
  <si>
    <t>TF fish</t>
  </si>
  <si>
    <t>pCi/kg per pCi/L</t>
  </si>
  <si>
    <t>TF beef</t>
  </si>
  <si>
    <t>TF milk</t>
  </si>
  <si>
    <t>TF swine</t>
  </si>
  <si>
    <t>TF poultry</t>
  </si>
  <si>
    <t>TF egg</t>
  </si>
  <si>
    <t>day/kg</t>
  </si>
  <si>
    <t>IFE f-adj</t>
  </si>
  <si>
    <t>IFP f-adj</t>
  </si>
  <si>
    <t>IFB f-adj</t>
  </si>
  <si>
    <t>IFD f-adj</t>
  </si>
  <si>
    <t>Q-w beef</t>
  </si>
  <si>
    <t>IFSW f-adj</t>
  </si>
  <si>
    <t>Q-w dairy</t>
  </si>
  <si>
    <t>IRE f-c</t>
  </si>
  <si>
    <t>Q-w poultry</t>
  </si>
  <si>
    <t>IRE f-a</t>
  </si>
  <si>
    <t>Q-w swine</t>
  </si>
  <si>
    <t>IRP f-c</t>
  </si>
  <si>
    <t>IRP f-a</t>
  </si>
  <si>
    <t>IRB f-c</t>
  </si>
  <si>
    <t>IRB f-a</t>
  </si>
  <si>
    <t>IRD f-c</t>
  </si>
  <si>
    <t>IRD f-a</t>
  </si>
  <si>
    <t>IRSW f-c</t>
  </si>
  <si>
    <t>IRSW f-a</t>
  </si>
  <si>
    <t>FI po</t>
  </si>
  <si>
    <t>kg/day</t>
  </si>
  <si>
    <t>FI po-s</t>
  </si>
  <si>
    <t>FI beef-w</t>
  </si>
  <si>
    <t>FI beef</t>
  </si>
  <si>
    <t>FI beef-s</t>
  </si>
  <si>
    <t>FI dairy-w</t>
  </si>
  <si>
    <t>FI dairy</t>
  </si>
  <si>
    <t>FI dairy-s</t>
  </si>
  <si>
    <t>FI sw-w</t>
  </si>
  <si>
    <t>FI sw</t>
  </si>
  <si>
    <t>FI sw-s</t>
  </si>
  <si>
    <t>MLF produce</t>
  </si>
  <si>
    <t>MLF pasture</t>
  </si>
  <si>
    <t>fp beef</t>
  </si>
  <si>
    <t>fs beef</t>
  </si>
  <si>
    <t>fp dairy</t>
  </si>
  <si>
    <t>fs dairy</t>
  </si>
  <si>
    <t>fp swine</t>
  </si>
  <si>
    <t>fs swine</t>
  </si>
  <si>
    <t>fp poultry</t>
  </si>
  <si>
    <t>fs poultry</t>
  </si>
  <si>
    <t>fp egg</t>
  </si>
  <si>
    <t>fs egg</t>
  </si>
  <si>
    <t>Cs-137+D</t>
  </si>
  <si>
    <t>Ra-226</t>
  </si>
  <si>
    <t>DCC</t>
  </si>
  <si>
    <t>corect</t>
  </si>
  <si>
    <t>IRA c</t>
  </si>
  <si>
    <t>IRA a</t>
  </si>
  <si>
    <t>Rn-222+D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</si>
</sst>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  <numFmt numFmtId="165" formatCode="0.000"/>
  </numFmts>
  <fonts count="37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1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7" borderId="0" xfId="47" applyFont="1" applyFill="1">
      <alignment/>
      <protection/>
    </xf>
    <xf numFmtId="0" fontId="0" fillId="37" borderId="0" xfId="47" applyFill="1">
      <alignment/>
      <protection/>
    </xf>
    <xf numFmtId="0" fontId="0" fillId="42" borderId="0" xfId="47" applyFont="1" applyFill="1">
      <alignment/>
      <protection/>
    </xf>
    <xf numFmtId="0" fontId="0" fillId="43" borderId="0" xfId="47" applyFont="1" applyFill="1">
      <alignment/>
      <protection/>
    </xf>
    <xf numFmtId="0" fontId="0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47" borderId="0" xfId="48" applyFont="1" applyFill="1">
      <alignment/>
      <protection/>
    </xf>
    <xf numFmtId="0" fontId="0" fillId="37" borderId="0" xfId="48" applyFont="1" applyFill="1">
      <alignment/>
      <protection/>
    </xf>
    <xf numFmtId="0" fontId="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11" fontId="1" fillId="44" borderId="0" xfId="0" applyNumberFormat="1" applyFont="1" applyFill="1" applyAlignment="1">
      <alignment/>
    </xf>
    <xf numFmtId="0" fontId="1" fillId="44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45" borderId="0" xfId="0" applyFont="1" applyFill="1" applyAlignment="1">
      <alignment/>
    </xf>
    <xf numFmtId="0" fontId="1" fillId="46" borderId="0" xfId="0" applyFont="1" applyFill="1" applyAlignment="1">
      <alignment/>
    </xf>
    <xf numFmtId="0" fontId="1" fillId="47" borderId="0" xfId="48" applyFont="1" applyFill="1">
      <alignment/>
      <protection/>
    </xf>
    <xf numFmtId="1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1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11" fontId="1" fillId="36" borderId="0" xfId="0" applyNumberFormat="1" applyFont="1" applyFill="1" applyAlignment="1">
      <alignment/>
    </xf>
    <xf numFmtId="11" fontId="1" fillId="37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11" fontId="1" fillId="39" borderId="0" xfId="0" applyNumberFormat="1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11" fontId="1" fillId="37" borderId="0" xfId="47" applyNumberFormat="1" applyFont="1" applyFill="1">
      <alignment/>
      <protection/>
    </xf>
    <xf numFmtId="0" fontId="1" fillId="37" borderId="0" xfId="47" applyFont="1" applyFill="1">
      <alignment/>
      <protection/>
    </xf>
    <xf numFmtId="0" fontId="1" fillId="42" borderId="0" xfId="47" applyFont="1" applyFill="1">
      <alignment/>
      <protection/>
    </xf>
    <xf numFmtId="0" fontId="1" fillId="43" borderId="0" xfId="47" applyFont="1" applyFill="1">
      <alignment/>
      <protection/>
    </xf>
    <xf numFmtId="11" fontId="1" fillId="43" borderId="0" xfId="47" applyNumberFormat="1" applyFont="1" applyFill="1">
      <alignment/>
      <protection/>
    </xf>
    <xf numFmtId="11" fontId="1" fillId="45" borderId="0" xfId="0" applyNumberFormat="1" applyFont="1" applyFill="1" applyAlignment="1">
      <alignment/>
    </xf>
    <xf numFmtId="11" fontId="1" fillId="46" borderId="0" xfId="0" applyNumberFormat="1" applyFont="1" applyFill="1" applyAlignment="1">
      <alignment/>
    </xf>
    <xf numFmtId="11" fontId="1" fillId="47" borderId="0" xfId="0" applyNumberFormat="1" applyFont="1" applyFill="1" applyAlignment="1">
      <alignment/>
    </xf>
    <xf numFmtId="11" fontId="1" fillId="37" borderId="0" xfId="48" applyNumberFormat="1" applyFont="1" applyFill="1">
      <alignment/>
      <protection/>
    </xf>
    <xf numFmtId="0" fontId="1" fillId="37" borderId="0" xfId="48" applyFont="1" applyFill="1">
      <alignment/>
      <protection/>
    </xf>
    <xf numFmtId="11" fontId="1" fillId="47" borderId="0" xfId="48" applyNumberFormat="1" applyFont="1" applyFill="1">
      <alignment/>
      <protection/>
    </xf>
    <xf numFmtId="1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47">
      <alignment/>
      <protection/>
    </xf>
    <xf numFmtId="0" fontId="1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Fill="1">
      <alignment/>
      <protection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47" applyFill="1">
      <alignment/>
      <protection/>
    </xf>
    <xf numFmtId="0" fontId="0" fillId="0" borderId="0" xfId="47" applyNumberFormat="1">
      <alignment/>
      <protection/>
    </xf>
    <xf numFmtId="11" fontId="0" fillId="0" borderId="0" xfId="48" applyNumberFormat="1" applyFont="1">
      <alignment/>
      <protection/>
    </xf>
    <xf numFmtId="11" fontId="0" fillId="0" borderId="0" xfId="0" applyNumberFormat="1" applyFont="1" applyFill="1" applyAlignment="1">
      <alignment/>
    </xf>
    <xf numFmtId="11" fontId="0" fillId="0" borderId="0" xfId="0" applyNumberFormat="1" applyFont="1" applyAlignment="1">
      <alignment/>
    </xf>
    <xf numFmtId="11" fontId="0" fillId="0" borderId="0" xfId="47" applyNumberFormat="1">
      <alignment/>
      <protection/>
    </xf>
    <xf numFmtId="0" fontId="0" fillId="0" borderId="0" xfId="47" applyFont="1" applyFill="1">
      <alignment/>
      <protection/>
    </xf>
    <xf numFmtId="0" fontId="0" fillId="0" borderId="0" xfId="47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47" applyFont="1">
      <alignment/>
      <protection/>
    </xf>
    <xf numFmtId="0" fontId="0" fillId="0" borderId="0" xfId="47" applyNumberFormat="1" applyFill="1">
      <alignment/>
      <protection/>
    </xf>
    <xf numFmtId="11" fontId="1" fillId="37" borderId="0" xfId="50" applyNumberFormat="1" applyFont="1" applyFill="1">
      <alignment/>
      <protection/>
    </xf>
    <xf numFmtId="164" fontId="0" fillId="0" borderId="0" xfId="0" applyNumberFormat="1" applyFont="1" applyAlignment="1">
      <alignment/>
    </xf>
    <xf numFmtId="11" fontId="0" fillId="0" borderId="0" xfId="47" applyNumberFormat="1" applyFont="1">
      <alignment/>
      <protection/>
    </xf>
    <xf numFmtId="165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48" applyNumberFormat="1" applyFont="1">
      <alignment/>
      <protection/>
    </xf>
    <xf numFmtId="0" fontId="0" fillId="34" borderId="0" xfId="49" applyFont="1" applyFill="1">
      <alignment/>
      <protection/>
    </xf>
    <xf numFmtId="0" fontId="1" fillId="34" borderId="0" xfId="49" applyFont="1" applyFill="1">
      <alignment/>
      <protection/>
    </xf>
    <xf numFmtId="0" fontId="0" fillId="0" borderId="0" xfId="49">
      <alignment/>
      <protection/>
    </xf>
    <xf numFmtId="0" fontId="0" fillId="0" borderId="0" xfId="46" applyFont="1" applyFill="1">
      <alignment/>
      <protection/>
    </xf>
    <xf numFmtId="11" fontId="0" fillId="0" borderId="0" xfId="46" applyNumberFormat="1">
      <alignment/>
      <protection/>
    </xf>
    <xf numFmtId="0" fontId="0" fillId="0" borderId="0" xfId="46" applyFont="1">
      <alignment/>
      <protection/>
    </xf>
    <xf numFmtId="11" fontId="0" fillId="0" borderId="0" xfId="47" applyNumberFormat="1" applyFont="1" applyFill="1">
      <alignment/>
      <protection/>
    </xf>
    <xf numFmtId="0" fontId="0" fillId="0" borderId="0" xfId="49" applyFont="1" applyFill="1">
      <alignment/>
      <protection/>
    </xf>
    <xf numFmtId="11" fontId="0" fillId="0" borderId="0" xfId="49" applyNumberFormat="1">
      <alignment/>
      <protection/>
    </xf>
    <xf numFmtId="0" fontId="0" fillId="0" borderId="0" xfId="46">
      <alignment/>
      <protection/>
    </xf>
    <xf numFmtId="0" fontId="0" fillId="0" borderId="0" xfId="49" applyFont="1">
      <alignment/>
      <protection/>
    </xf>
    <xf numFmtId="0" fontId="0" fillId="0" borderId="0" xfId="49" applyNumberFormat="1" applyFont="1">
      <alignment/>
      <protection/>
    </xf>
    <xf numFmtId="165" fontId="0" fillId="0" borderId="0" xfId="47" applyNumberFormat="1">
      <alignment/>
      <protection/>
    </xf>
    <xf numFmtId="11" fontId="1" fillId="38" borderId="0" xfId="0" applyNumberFormat="1" applyFont="1" applyFill="1" applyAlignment="1">
      <alignment/>
    </xf>
    <xf numFmtId="0" fontId="0" fillId="0" borderId="0" xfId="48" applyNumberFormat="1" applyFont="1">
      <alignment/>
      <protection/>
    </xf>
    <xf numFmtId="164" fontId="0" fillId="0" borderId="0" xfId="0" applyNumberFormat="1" applyAlignment="1">
      <alignment/>
    </xf>
    <xf numFmtId="11" fontId="1" fillId="0" borderId="0" xfId="47" applyNumberFormat="1" applyFont="1" applyFill="1">
      <alignment/>
      <protection/>
    </xf>
    <xf numFmtId="0" fontId="1" fillId="0" borderId="0" xfId="47" applyFont="1" applyFill="1">
      <alignment/>
      <protection/>
    </xf>
    <xf numFmtId="11" fontId="1" fillId="0" borderId="0" xfId="47" applyNumberFormat="1" applyFont="1">
      <alignment/>
      <protection/>
    </xf>
    <xf numFmtId="0" fontId="1" fillId="0" borderId="0" xfId="47" applyFont="1">
      <alignment/>
      <protection/>
    </xf>
    <xf numFmtId="11" fontId="1" fillId="0" borderId="0" xfId="0" applyNumberFormat="1" applyFont="1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0" fillId="0" borderId="0" xfId="48" applyNumberFormat="1" applyFont="1">
      <alignment/>
      <protection/>
    </xf>
    <xf numFmtId="164" fontId="0" fillId="0" borderId="0" xfId="0" applyNumberFormat="1" applyFill="1" applyAlignment="1">
      <alignment/>
    </xf>
    <xf numFmtId="0" fontId="1" fillId="0" borderId="0" xfId="0" applyNumberFormat="1" applyFont="1" applyAlignment="1">
      <alignment/>
    </xf>
    <xf numFmtId="164" fontId="0" fillId="0" borderId="0" xfId="47" applyNumberForma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ormal 2" xfId="46"/>
    <cellStyle name="Excel_BuiltIn_Normal 5" xfId="47"/>
    <cellStyle name="Excel_BuiltIn_Normal 6" xfId="48"/>
    <cellStyle name="Excel_BuiltIn_Normal 7" xfId="49"/>
    <cellStyle name="Excel_BuiltIn_Normal 8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9.00390625" style="0" customWidth="1"/>
    <col min="4" max="4" width="8.57421875" style="0" customWidth="1"/>
    <col min="5" max="5" width="9.7109375" style="0" customWidth="1"/>
    <col min="6" max="6" width="16.8515625" style="0" customWidth="1"/>
    <col min="7" max="7" width="9.00390625" style="0" customWidth="1"/>
    <col min="8" max="8" width="8.421875" style="0" customWidth="1"/>
    <col min="9" max="9" width="10.421875" style="0" customWidth="1"/>
    <col min="10" max="10" width="13.7109375" style="0" customWidth="1"/>
    <col min="11" max="13" width="8.57421875" style="0" customWidth="1"/>
    <col min="14" max="14" width="12.00390625" style="0" customWidth="1"/>
    <col min="15" max="15" width="14.28125" style="0" customWidth="1"/>
    <col min="16" max="16" width="8.140625" style="0" customWidth="1"/>
    <col min="17" max="17" width="11.28125" style="0" customWidth="1"/>
    <col min="18" max="18" width="12.421875" style="0" customWidth="1"/>
    <col min="19" max="19" width="8.140625" style="0" customWidth="1"/>
    <col min="20" max="20" width="13.8515625" style="0" customWidth="1"/>
    <col min="21" max="21" width="14.28125" style="0" customWidth="1"/>
    <col min="22" max="22" width="8.140625" style="0" customWidth="1"/>
    <col min="23" max="23" width="15.00390625" style="0" customWidth="1"/>
    <col min="24" max="24" width="14.28125" style="0" customWidth="1"/>
    <col min="25" max="25" width="8.140625" style="0" customWidth="1"/>
    <col min="26" max="26" width="17.421875" style="0" customWidth="1"/>
    <col min="27" max="27" width="14.28125" style="0" customWidth="1"/>
    <col min="28" max="28" width="13.57421875" style="0" customWidth="1"/>
    <col min="29" max="37" width="11.00390625" style="0" customWidth="1"/>
    <col min="38" max="38" width="12.00390625" style="0" customWidth="1"/>
    <col min="39" max="39" width="16.00390625" style="0" customWidth="1"/>
    <col min="40" max="46" width="10.421875" style="0" customWidth="1"/>
    <col min="47" max="47" width="10.140625" style="0" customWidth="1"/>
    <col min="48" max="48" width="15.421875" style="0" customWidth="1"/>
    <col min="49" max="49" width="10.421875" style="0" customWidth="1"/>
    <col min="50" max="50" width="11.57421875" style="0" customWidth="1"/>
    <col min="51" max="51" width="15.421875" style="0" customWidth="1"/>
    <col min="52" max="53" width="10.421875" style="0" customWidth="1"/>
    <col min="54" max="54" width="14.421875" style="0" customWidth="1"/>
    <col min="55" max="55" width="10.421875" style="0" customWidth="1"/>
    <col min="56" max="56" width="14.00390625" style="0" customWidth="1"/>
    <col min="57" max="58" width="10.421875" style="0" customWidth="1"/>
    <col min="59" max="59" width="10.140625" style="0" customWidth="1"/>
    <col min="60" max="60" width="15.421875" style="0" customWidth="1"/>
    <col min="61" max="61" width="10.421875" style="0" customWidth="1"/>
    <col min="62" max="62" width="11.57421875" style="0" customWidth="1"/>
    <col min="63" max="63" width="15.421875" style="0" customWidth="1"/>
    <col min="64" max="64" width="10.421875" style="0" customWidth="1"/>
    <col min="65" max="65" width="10.140625" style="0" customWidth="1"/>
    <col min="66" max="66" width="15.421875" style="0" customWidth="1"/>
    <col min="67" max="67" width="10.421875" style="0" customWidth="1"/>
    <col min="68" max="68" width="11.57421875" style="0" customWidth="1"/>
    <col min="69" max="69" width="15.421875" style="0" customWidth="1"/>
    <col min="70" max="70" width="9.57421875" style="0" customWidth="1"/>
    <col min="71" max="71" width="10.140625" style="0" customWidth="1"/>
    <col min="72" max="72" width="17.28125" style="0" customWidth="1"/>
    <col min="73" max="73" width="9.57421875" style="0" customWidth="1"/>
    <col min="74" max="74" width="11.57421875" style="0" customWidth="1"/>
    <col min="75" max="75" width="17.28125" style="0" customWidth="1"/>
    <col min="76" max="76" width="10.28125" style="0" customWidth="1"/>
    <col min="78" max="78" width="12.57421875" style="0" customWidth="1"/>
    <col min="83" max="83" width="11.00390625" style="0" customWidth="1"/>
  </cols>
  <sheetData>
    <row r="1" spans="1:78" ht="12.75">
      <c r="A1" s="1" t="s">
        <v>0</v>
      </c>
      <c r="B1" s="1"/>
      <c r="C1" s="1" t="s">
        <v>1</v>
      </c>
      <c r="D1" s="2" t="s">
        <v>2</v>
      </c>
      <c r="E1" s="2" t="s">
        <v>3</v>
      </c>
      <c r="F1" s="2" t="s">
        <v>1</v>
      </c>
      <c r="G1" s="3" t="s">
        <v>0</v>
      </c>
      <c r="H1" s="3"/>
      <c r="I1" s="3" t="s">
        <v>1</v>
      </c>
      <c r="J1" s="4" t="s">
        <v>4</v>
      </c>
      <c r="K1" s="4"/>
      <c r="L1" s="4" t="s">
        <v>1</v>
      </c>
      <c r="M1" s="5" t="s">
        <v>0</v>
      </c>
      <c r="N1" s="5"/>
      <c r="O1" s="5" t="s">
        <v>1</v>
      </c>
      <c r="P1" s="6" t="s">
        <v>4</v>
      </c>
      <c r="Q1" s="6"/>
      <c r="R1" s="6" t="s">
        <v>1</v>
      </c>
      <c r="S1" s="7" t="s">
        <v>2</v>
      </c>
      <c r="T1" s="8" t="s">
        <v>5</v>
      </c>
      <c r="U1" s="9" t="s">
        <v>1</v>
      </c>
      <c r="V1" s="7" t="s">
        <v>2</v>
      </c>
      <c r="W1" s="8" t="s">
        <v>6</v>
      </c>
      <c r="X1" s="9" t="s">
        <v>1</v>
      </c>
      <c r="Y1" s="7" t="s">
        <v>2</v>
      </c>
      <c r="Z1" s="8" t="s">
        <v>7</v>
      </c>
      <c r="AA1" s="9" t="s">
        <v>1</v>
      </c>
      <c r="AB1" s="10" t="s">
        <v>8</v>
      </c>
      <c r="AC1" s="10"/>
      <c r="AD1" s="10" t="s">
        <v>1</v>
      </c>
      <c r="AE1" s="11" t="s">
        <v>8</v>
      </c>
      <c r="AF1" s="11"/>
      <c r="AG1" s="11" t="s">
        <v>1</v>
      </c>
      <c r="AH1" s="12" t="s">
        <v>8</v>
      </c>
      <c r="AI1" s="12"/>
      <c r="AJ1" s="12" t="s">
        <v>1</v>
      </c>
      <c r="AK1" s="13" t="s">
        <v>9</v>
      </c>
      <c r="AL1" s="14"/>
      <c r="AM1" s="14" t="s">
        <v>1</v>
      </c>
      <c r="AN1" s="15" t="s">
        <v>9</v>
      </c>
      <c r="AO1" s="15"/>
      <c r="AP1" s="15" t="s">
        <v>1</v>
      </c>
      <c r="AQ1" s="16" t="s">
        <v>9</v>
      </c>
      <c r="AR1" s="16"/>
      <c r="AS1" s="16" t="s">
        <v>1</v>
      </c>
      <c r="AT1" s="17" t="s">
        <v>10</v>
      </c>
      <c r="AU1" s="17" t="s">
        <v>11</v>
      </c>
      <c r="AV1" s="17" t="s">
        <v>1</v>
      </c>
      <c r="AW1" s="17" t="s">
        <v>10</v>
      </c>
      <c r="AX1" s="17" t="s">
        <v>12</v>
      </c>
      <c r="AY1" s="17" t="s">
        <v>1</v>
      </c>
      <c r="AZ1" s="5" t="s">
        <v>10</v>
      </c>
      <c r="BA1" s="5" t="s">
        <v>11</v>
      </c>
      <c r="BB1" s="5" t="s">
        <v>1</v>
      </c>
      <c r="BC1" s="5" t="s">
        <v>10</v>
      </c>
      <c r="BD1" s="5" t="s">
        <v>13</v>
      </c>
      <c r="BE1" s="5" t="s">
        <v>1</v>
      </c>
      <c r="BF1" s="18" t="s">
        <v>10</v>
      </c>
      <c r="BG1" s="18" t="s">
        <v>11</v>
      </c>
      <c r="BH1" s="18" t="s">
        <v>1</v>
      </c>
      <c r="BI1" s="18" t="s">
        <v>10</v>
      </c>
      <c r="BJ1" s="18" t="s">
        <v>12</v>
      </c>
      <c r="BK1" s="18" t="s">
        <v>1</v>
      </c>
      <c r="BL1" s="19" t="s">
        <v>10</v>
      </c>
      <c r="BM1" s="19" t="s">
        <v>11</v>
      </c>
      <c r="BN1" s="19" t="s">
        <v>1</v>
      </c>
      <c r="BO1" s="19" t="s">
        <v>10</v>
      </c>
      <c r="BP1" s="19" t="s">
        <v>12</v>
      </c>
      <c r="BQ1" s="19" t="s">
        <v>1</v>
      </c>
      <c r="BR1" s="20" t="s">
        <v>10</v>
      </c>
      <c r="BS1" s="20" t="s">
        <v>11</v>
      </c>
      <c r="BT1" s="20" t="s">
        <v>1</v>
      </c>
      <c r="BU1" s="20" t="s">
        <v>10</v>
      </c>
      <c r="BV1" s="20" t="s">
        <v>12</v>
      </c>
      <c r="BW1" s="20" t="s">
        <v>1</v>
      </c>
      <c r="BX1" s="21" t="s">
        <v>14</v>
      </c>
      <c r="BY1" s="21" t="s">
        <v>1</v>
      </c>
      <c r="BZ1" s="21" t="s">
        <v>15</v>
      </c>
    </row>
    <row r="2" spans="1:78" ht="12.75">
      <c r="A2" s="1" t="s">
        <v>16</v>
      </c>
      <c r="B2" s="1" t="s">
        <v>14</v>
      </c>
      <c r="C2" s="1" t="s">
        <v>17</v>
      </c>
      <c r="D2" s="2" t="s">
        <v>16</v>
      </c>
      <c r="E2" s="2" t="s">
        <v>14</v>
      </c>
      <c r="F2" s="2" t="s">
        <v>17</v>
      </c>
      <c r="G2" s="3" t="s">
        <v>18</v>
      </c>
      <c r="H2" s="3" t="s">
        <v>14</v>
      </c>
      <c r="I2" s="3" t="s">
        <v>19</v>
      </c>
      <c r="J2" s="4" t="s">
        <v>20</v>
      </c>
      <c r="K2" s="4" t="s">
        <v>14</v>
      </c>
      <c r="L2" s="4" t="s">
        <v>19</v>
      </c>
      <c r="M2" s="5" t="s">
        <v>21</v>
      </c>
      <c r="N2" s="5" t="s">
        <v>14</v>
      </c>
      <c r="O2" s="5" t="s">
        <v>22</v>
      </c>
      <c r="P2" s="6" t="s">
        <v>21</v>
      </c>
      <c r="Q2" s="6" t="s">
        <v>14</v>
      </c>
      <c r="R2" s="6" t="s">
        <v>22</v>
      </c>
      <c r="S2" s="22" t="s">
        <v>21</v>
      </c>
      <c r="T2" s="23" t="s">
        <v>14</v>
      </c>
      <c r="U2" s="24" t="s">
        <v>22</v>
      </c>
      <c r="V2" s="22" t="s">
        <v>21</v>
      </c>
      <c r="W2" s="23" t="s">
        <v>14</v>
      </c>
      <c r="X2" s="24" t="s">
        <v>22</v>
      </c>
      <c r="Y2" s="22" t="s">
        <v>21</v>
      </c>
      <c r="Z2" s="23" t="s">
        <v>14</v>
      </c>
      <c r="AA2" s="24" t="s">
        <v>22</v>
      </c>
      <c r="AB2" s="10" t="s">
        <v>23</v>
      </c>
      <c r="AC2" s="10"/>
      <c r="AD2" s="10"/>
      <c r="AE2" s="11" t="s">
        <v>24</v>
      </c>
      <c r="AF2" s="11"/>
      <c r="AG2" s="11"/>
      <c r="AH2" s="12" t="s">
        <v>25</v>
      </c>
      <c r="AI2" s="12"/>
      <c r="AJ2" s="12"/>
      <c r="AK2" s="14" t="s">
        <v>26</v>
      </c>
      <c r="AL2" s="14" t="s">
        <v>14</v>
      </c>
      <c r="AM2" s="14" t="s">
        <v>22</v>
      </c>
      <c r="AN2" s="15" t="s">
        <v>27</v>
      </c>
      <c r="AO2" s="15"/>
      <c r="AP2" s="15"/>
      <c r="AQ2" s="16" t="s">
        <v>28</v>
      </c>
      <c r="AR2" s="16" t="s">
        <v>14</v>
      </c>
      <c r="AS2" s="16" t="s">
        <v>22</v>
      </c>
      <c r="AT2" s="25"/>
      <c r="AU2" s="17" t="s">
        <v>29</v>
      </c>
      <c r="AV2" s="26" t="s">
        <v>22</v>
      </c>
      <c r="AW2" s="25"/>
      <c r="AX2" s="17" t="s">
        <v>29</v>
      </c>
      <c r="AY2" s="26" t="s">
        <v>22</v>
      </c>
      <c r="AZ2" s="27"/>
      <c r="BA2" s="5" t="s">
        <v>8</v>
      </c>
      <c r="BB2" s="27" t="s">
        <v>22</v>
      </c>
      <c r="BC2" s="27"/>
      <c r="BD2" s="5" t="s">
        <v>8</v>
      </c>
      <c r="BE2" s="27" t="s">
        <v>22</v>
      </c>
      <c r="BF2" s="18" t="s">
        <v>5</v>
      </c>
      <c r="BG2" s="18" t="s">
        <v>30</v>
      </c>
      <c r="BH2" s="28" t="s">
        <v>22</v>
      </c>
      <c r="BI2" s="18" t="s">
        <v>5</v>
      </c>
      <c r="BJ2" s="18" t="s">
        <v>30</v>
      </c>
      <c r="BK2" s="28" t="s">
        <v>22</v>
      </c>
      <c r="BL2" s="19" t="s">
        <v>3</v>
      </c>
      <c r="BM2" s="19" t="s">
        <v>30</v>
      </c>
      <c r="BN2" s="29" t="s">
        <v>22</v>
      </c>
      <c r="BO2" s="19" t="s">
        <v>3</v>
      </c>
      <c r="BP2" s="19" t="s">
        <v>30</v>
      </c>
      <c r="BQ2" s="29" t="s">
        <v>22</v>
      </c>
      <c r="BR2" s="20" t="s">
        <v>31</v>
      </c>
      <c r="BS2" s="20" t="s">
        <v>30</v>
      </c>
      <c r="BT2" s="30" t="s">
        <v>22</v>
      </c>
      <c r="BU2" s="20" t="s">
        <v>31</v>
      </c>
      <c r="BV2" s="20" t="s">
        <v>30</v>
      </c>
      <c r="BW2" s="30" t="s">
        <v>22</v>
      </c>
      <c r="BX2" s="21" t="s">
        <v>22</v>
      </c>
      <c r="BY2" s="21" t="s">
        <v>29</v>
      </c>
      <c r="BZ2" s="21" t="s">
        <v>32</v>
      </c>
    </row>
    <row r="3" spans="1:78" ht="12.75">
      <c r="A3" s="1" t="s">
        <v>33</v>
      </c>
      <c r="B3" s="31">
        <f>1/((1/B19)+(1/B20))</f>
        <v>0.00018829194367612546</v>
      </c>
      <c r="C3" s="32" t="s">
        <v>34</v>
      </c>
      <c r="D3" s="2" t="s">
        <v>35</v>
      </c>
      <c r="E3" s="33">
        <f>1/((1/E17)+(1/E18))</f>
        <v>0.00032269932240984277</v>
      </c>
      <c r="F3" s="34" t="s">
        <v>34</v>
      </c>
      <c r="G3" s="3"/>
      <c r="H3" s="35">
        <f>1/(I30+I31+I32+I33)</f>
        <v>0.43523008902521554</v>
      </c>
      <c r="I3" s="36" t="s">
        <v>34</v>
      </c>
      <c r="J3" s="37"/>
      <c r="K3" s="38">
        <f>1/((1/K16)+(1/K17))</f>
        <v>0.22893766209388222</v>
      </c>
      <c r="L3" s="37" t="s">
        <v>34</v>
      </c>
      <c r="M3" s="5"/>
      <c r="N3" s="39">
        <f>1/((1/N40)+(1/N41)+(1/N42)+(1/N43))</f>
        <v>0.13868521119252863</v>
      </c>
      <c r="O3" s="27" t="s">
        <v>34</v>
      </c>
      <c r="P3" s="40"/>
      <c r="Q3" s="40">
        <f>1/((1/Q40)+(1/Q41)+(1/Q42))</f>
        <v>3.469531500049778</v>
      </c>
      <c r="R3" s="40" t="s">
        <v>34</v>
      </c>
      <c r="S3" s="22"/>
      <c r="T3" s="41">
        <f>1/((1/T25)+(1/T26)+(1/T27))</f>
        <v>11.109121883960132</v>
      </c>
      <c r="U3" s="42" t="s">
        <v>34</v>
      </c>
      <c r="V3" s="22"/>
      <c r="W3" s="41">
        <f>1/((1/W25)+(1/W26)+(1/W27))</f>
        <v>5.35980120033836</v>
      </c>
      <c r="X3" s="42" t="s">
        <v>34</v>
      </c>
      <c r="Y3" s="22"/>
      <c r="Z3" s="41">
        <f>1/((1/Z25)+(1/Z26)+(1/Z27))</f>
        <v>4.823821080304524</v>
      </c>
      <c r="AA3" s="42" t="s">
        <v>34</v>
      </c>
      <c r="AB3" s="43"/>
      <c r="AC3" s="43"/>
      <c r="AD3" s="43"/>
      <c r="AE3" s="44"/>
      <c r="AF3" s="44"/>
      <c r="AG3" s="44"/>
      <c r="AH3" s="45"/>
      <c r="AI3" s="45"/>
      <c r="AJ3" s="45"/>
      <c r="AK3" s="14"/>
      <c r="AL3" s="46">
        <f>1/((1/AL40)+(1/AL41)+(1/AL42)+(1/AL43)+(1/AL44)+(1/AL45)+(1/AL46)+(1/AL47)+(1/AL48)+(1/AL49))</f>
        <v>0.00908683444007964</v>
      </c>
      <c r="AM3" s="47" t="s">
        <v>34</v>
      </c>
      <c r="AN3" s="48"/>
      <c r="AO3" s="48"/>
      <c r="AP3" s="48"/>
      <c r="AQ3" s="49"/>
      <c r="AR3" s="50">
        <f>1/((1/AR43)+(1/AR44)+(1/AR45)+(1/AR46)+(1/AR47)+(1/AR48)+(1/AR49))</f>
        <v>0.12506002142826753</v>
      </c>
      <c r="AS3" s="49"/>
      <c r="AT3" s="17" t="s">
        <v>36</v>
      </c>
      <c r="AU3" s="25">
        <f>(AU5*AU6*AU7)/((1-EXP(-AU7*AU6))*AU9*AU14*(AU8/365)*AU12*((AU13)+(AU15*AU10)))</f>
        <v>3.861192754194321</v>
      </c>
      <c r="AV3" s="26" t="s">
        <v>34</v>
      </c>
      <c r="AW3" s="17" t="s">
        <v>36</v>
      </c>
      <c r="AX3" s="25">
        <f>(AX5*AX6*AX7)/((1-EXP(-AX7*AX6))*AX9*AX14*(AX8/365)*AX12*((AX13)+(AX15*AX10)))</f>
        <v>3.861192754194321</v>
      </c>
      <c r="AY3" s="26" t="s">
        <v>34</v>
      </c>
      <c r="AZ3" s="5" t="s">
        <v>36</v>
      </c>
      <c r="BA3" s="27">
        <f>(BA5*BA6*BA7)/(BA9*(1-EXP(-BA7*BA6))*BA14*(BA8/365)*BA12*BA13/24*BA11)</f>
        <v>15.541672998789178</v>
      </c>
      <c r="BB3" s="27" t="s">
        <v>34</v>
      </c>
      <c r="BC3" s="5" t="s">
        <v>36</v>
      </c>
      <c r="BD3" s="27">
        <f>(BD5*BD6*BD7)/(BD9*(1-EXP(-BD7*BD6))*BD14*(BD8/365)*BD12*BD13/24*BD11)</f>
        <v>15.541672998789178</v>
      </c>
      <c r="BE3" s="27" t="s">
        <v>34</v>
      </c>
      <c r="BF3" s="18" t="s">
        <v>36</v>
      </c>
      <c r="BG3" s="51">
        <f>(BG5*BG6*BG7)/((1-EXP(-BG7*BG6))*BG9*BG14*(BG8/365)*BG12*(BG15/24)*BG10)</f>
        <v>16.77624083662708</v>
      </c>
      <c r="BH3" s="28" t="s">
        <v>34</v>
      </c>
      <c r="BI3" s="18" t="s">
        <v>36</v>
      </c>
      <c r="BJ3" s="51">
        <f>(BJ5*BJ6*BJ7)/((1-EXP(-BJ7*BJ6))*BJ9*BJ14*(BJ8/365)*BJ12*(BJ15/24)*BJ10)</f>
        <v>16.77624083662708</v>
      </c>
      <c r="BK3" s="28" t="s">
        <v>34</v>
      </c>
      <c r="BL3" s="19" t="s">
        <v>36</v>
      </c>
      <c r="BM3" s="52">
        <f>(BM5*BM6*BM7)/((1-EXP(-BM7*BM6))*BM9*BM14*(BM8/365)*BM12*(BM15/24)*BM11)</f>
        <v>7.4561070385009245</v>
      </c>
      <c r="BN3" s="29" t="s">
        <v>34</v>
      </c>
      <c r="BO3" s="19" t="s">
        <v>36</v>
      </c>
      <c r="BP3" s="52">
        <f>(BP5*BP6*BP7)/((1-EXP(-BP7*BP6))*BP9*BP14*(BP8/365)*BP12*(BP15/24)*BP11)</f>
        <v>7.4561070385009245</v>
      </c>
      <c r="BQ3" s="29" t="s">
        <v>34</v>
      </c>
      <c r="BR3" s="20"/>
      <c r="BS3" s="53">
        <f>(BS5*BS6*BS7)/((1-EXP(-BS7*BS6))*BS9*BS14*(BS8/365)*BS12*(BS15/24)*BS11)</f>
        <v>6.7104963346508315</v>
      </c>
      <c r="BT3" s="30" t="s">
        <v>34</v>
      </c>
      <c r="BU3" s="20"/>
      <c r="BV3" s="53">
        <f>(BV5*BV6*BV7)/((1-EXP(-BV7*BV6))*BV9*BV14*(BV8/365)*BV12*(BV15/24)*BV11)</f>
        <v>6.7104963346508315</v>
      </c>
      <c r="BW3" s="30" t="s">
        <v>34</v>
      </c>
      <c r="BX3" s="54">
        <f>(BY5*BY11*0.001*(BY12+(BY8/BY9)))*((BY10*BY7)/(1-EXP(-BY7*BY10)))</f>
        <v>2.580963821421562</v>
      </c>
      <c r="BY3" s="55" t="s">
        <v>34</v>
      </c>
      <c r="BZ3" s="21" t="s">
        <v>37</v>
      </c>
    </row>
    <row r="4" spans="1:78" ht="12.75">
      <c r="A4" s="1" t="s">
        <v>35</v>
      </c>
      <c r="B4" s="31">
        <f>1/((1/B21)+(1/B22))</f>
        <v>0.00019284710098937556</v>
      </c>
      <c r="C4" s="32" t="s">
        <v>34</v>
      </c>
      <c r="D4" s="2" t="s">
        <v>33</v>
      </c>
      <c r="E4" s="33">
        <f>1/((1/E15)+(1/E16))</f>
        <v>0.00031633053542138055</v>
      </c>
      <c r="F4" s="34" t="s">
        <v>34</v>
      </c>
      <c r="G4" s="3"/>
      <c r="H4" s="35"/>
      <c r="I4" s="36"/>
      <c r="J4" s="37"/>
      <c r="K4" s="37"/>
      <c r="L4" s="37"/>
      <c r="M4" s="5" t="s">
        <v>1</v>
      </c>
      <c r="N4" s="39" t="s">
        <v>29</v>
      </c>
      <c r="O4" s="27"/>
      <c r="P4" s="40"/>
      <c r="Q4" s="40"/>
      <c r="R4" s="40"/>
      <c r="S4" s="22" t="s">
        <v>1</v>
      </c>
      <c r="T4" s="41" t="s">
        <v>38</v>
      </c>
      <c r="U4" s="42"/>
      <c r="V4" s="22" t="s">
        <v>1</v>
      </c>
      <c r="W4" s="41" t="s">
        <v>39</v>
      </c>
      <c r="X4" s="42"/>
      <c r="Y4" s="22" t="s">
        <v>1</v>
      </c>
      <c r="Z4" s="41" t="s">
        <v>7</v>
      </c>
      <c r="AA4" s="42"/>
      <c r="AB4" s="10" t="s">
        <v>1</v>
      </c>
      <c r="AC4" s="43" t="s">
        <v>4</v>
      </c>
      <c r="AD4" s="43"/>
      <c r="AE4" s="11" t="s">
        <v>1</v>
      </c>
      <c r="AF4" s="44" t="s">
        <v>4</v>
      </c>
      <c r="AG4" s="44"/>
      <c r="AH4" s="45"/>
      <c r="AI4" s="45" t="s">
        <v>4</v>
      </c>
      <c r="AJ4" s="45"/>
      <c r="AK4" s="14" t="s">
        <v>1</v>
      </c>
      <c r="AL4" s="46" t="s">
        <v>40</v>
      </c>
      <c r="AM4" s="47"/>
      <c r="AN4" s="15" t="s">
        <v>1</v>
      </c>
      <c r="AO4" s="48"/>
      <c r="AP4" s="48"/>
      <c r="AQ4" s="16" t="s">
        <v>1</v>
      </c>
      <c r="AR4" s="49" t="s">
        <v>40</v>
      </c>
      <c r="AS4" s="49"/>
      <c r="AT4" s="17" t="s">
        <v>41</v>
      </c>
      <c r="AU4" s="25"/>
      <c r="AV4" s="26"/>
      <c r="AW4" s="17" t="s">
        <v>41</v>
      </c>
      <c r="AX4" s="25"/>
      <c r="AY4" s="26"/>
      <c r="AZ4" s="5" t="s">
        <v>41</v>
      </c>
      <c r="BA4" s="27"/>
      <c r="BB4" s="27"/>
      <c r="BC4" s="5" t="s">
        <v>41</v>
      </c>
      <c r="BD4" s="27"/>
      <c r="BE4" s="27"/>
      <c r="BF4" s="18" t="s">
        <v>41</v>
      </c>
      <c r="BG4" s="51"/>
      <c r="BH4" s="28"/>
      <c r="BI4" s="18" t="s">
        <v>41</v>
      </c>
      <c r="BJ4" s="51"/>
      <c r="BK4" s="28"/>
      <c r="BL4" s="19" t="s">
        <v>41</v>
      </c>
      <c r="BM4" s="52"/>
      <c r="BN4" s="29"/>
      <c r="BO4" s="19" t="s">
        <v>41</v>
      </c>
      <c r="BP4" s="52"/>
      <c r="BQ4" s="29"/>
      <c r="BR4" s="20" t="s">
        <v>41</v>
      </c>
      <c r="BS4" s="56"/>
      <c r="BT4" s="30"/>
      <c r="BU4" s="20" t="s">
        <v>41</v>
      </c>
      <c r="BV4" s="56"/>
      <c r="BW4" s="30"/>
      <c r="BX4" s="54">
        <f>(BY6*BY11*10^-3*(BY12+(BY8/BY9)))*((BY10*BY7)/(1-EXP(-BY7*BY10)))</f>
        <v>0.07488754091787779</v>
      </c>
      <c r="BY4" s="55" t="s">
        <v>34</v>
      </c>
      <c r="BZ4" s="21" t="s">
        <v>42</v>
      </c>
    </row>
    <row r="5" spans="1:78" ht="12.75">
      <c r="A5" t="s">
        <v>43</v>
      </c>
      <c r="B5" s="57">
        <v>1E-06</v>
      </c>
      <c r="D5" t="s">
        <v>43</v>
      </c>
      <c r="E5" s="57">
        <v>1E-06</v>
      </c>
      <c r="G5" s="58" t="s">
        <v>43</v>
      </c>
      <c r="H5" s="57">
        <v>1E-06</v>
      </c>
      <c r="J5" s="58" t="s">
        <v>43</v>
      </c>
      <c r="K5" s="57">
        <v>1E-06</v>
      </c>
      <c r="M5" s="58" t="s">
        <v>43</v>
      </c>
      <c r="N5" s="57">
        <v>1E-06</v>
      </c>
      <c r="P5" s="58" t="s">
        <v>43</v>
      </c>
      <c r="Q5" s="57">
        <v>1E-06</v>
      </c>
      <c r="S5" s="58" t="s">
        <v>43</v>
      </c>
      <c r="T5" s="57">
        <v>1E-06</v>
      </c>
      <c r="V5" s="58" t="s">
        <v>43</v>
      </c>
      <c r="W5" s="57">
        <v>1E-06</v>
      </c>
      <c r="Y5" s="58" t="s">
        <v>43</v>
      </c>
      <c r="Z5" s="57">
        <v>1E-06</v>
      </c>
      <c r="AB5" s="58" t="s">
        <v>43</v>
      </c>
      <c r="AC5" s="57">
        <v>1E-06</v>
      </c>
      <c r="AE5" t="s">
        <v>44</v>
      </c>
      <c r="AF5" s="57">
        <v>5E-05</v>
      </c>
      <c r="AH5" t="s">
        <v>44</v>
      </c>
      <c r="AI5" s="57">
        <v>5E-05</v>
      </c>
      <c r="AK5" s="58" t="s">
        <v>43</v>
      </c>
      <c r="AL5" s="57">
        <v>1E-06</v>
      </c>
      <c r="AM5" s="59"/>
      <c r="AN5" s="58" t="s">
        <v>43</v>
      </c>
      <c r="AO5" s="57">
        <v>1E-06</v>
      </c>
      <c r="AP5" s="59"/>
      <c r="AQ5" s="58" t="s">
        <v>43</v>
      </c>
      <c r="AR5" s="57">
        <v>1E-06</v>
      </c>
      <c r="AS5" s="59"/>
      <c r="AT5" t="s">
        <v>43</v>
      </c>
      <c r="AU5" s="57">
        <v>1E-06</v>
      </c>
      <c r="AW5" t="s">
        <v>43</v>
      </c>
      <c r="AX5" s="57">
        <v>1E-06</v>
      </c>
      <c r="AZ5" t="s">
        <v>43</v>
      </c>
      <c r="BA5" s="57">
        <v>1E-06</v>
      </c>
      <c r="BC5" t="s">
        <v>43</v>
      </c>
      <c r="BD5" s="57">
        <v>1E-06</v>
      </c>
      <c r="BF5" t="s">
        <v>43</v>
      </c>
      <c r="BG5" s="57">
        <v>1E-06</v>
      </c>
      <c r="BI5" t="s">
        <v>43</v>
      </c>
      <c r="BJ5" s="57">
        <v>1E-06</v>
      </c>
      <c r="BL5" t="s">
        <v>43</v>
      </c>
      <c r="BM5" s="57">
        <v>1E-06</v>
      </c>
      <c r="BO5" t="s">
        <v>43</v>
      </c>
      <c r="BP5" s="57">
        <v>1E-06</v>
      </c>
      <c r="BR5" t="s">
        <v>43</v>
      </c>
      <c r="BS5" s="57">
        <v>1E-06</v>
      </c>
      <c r="BU5" t="s">
        <v>43</v>
      </c>
      <c r="BV5" s="57">
        <v>1E-06</v>
      </c>
      <c r="BX5" s="60" t="s">
        <v>45</v>
      </c>
      <c r="BY5" s="61">
        <v>15</v>
      </c>
      <c r="BZ5" s="62" t="s">
        <v>19</v>
      </c>
    </row>
    <row r="6" spans="1:84" ht="12.75">
      <c r="A6" s="58" t="s">
        <v>46</v>
      </c>
      <c r="B6" s="57">
        <v>0.0016</v>
      </c>
      <c r="D6" s="58" t="s">
        <v>46</v>
      </c>
      <c r="E6" s="57">
        <v>0.0016</v>
      </c>
      <c r="G6" s="58" t="s">
        <v>47</v>
      </c>
      <c r="H6" s="63">
        <v>350</v>
      </c>
      <c r="I6" s="58" t="s">
        <v>48</v>
      </c>
      <c r="J6" s="58" t="s">
        <v>47</v>
      </c>
      <c r="K6" s="63">
        <v>350</v>
      </c>
      <c r="L6" s="58" t="s">
        <v>48</v>
      </c>
      <c r="M6" s="64"/>
      <c r="N6" s="65">
        <v>1000</v>
      </c>
      <c r="O6" t="s">
        <v>49</v>
      </c>
      <c r="S6" s="64"/>
      <c r="T6" s="65">
        <v>1000</v>
      </c>
      <c r="U6" t="s">
        <v>49</v>
      </c>
      <c r="V6" s="64"/>
      <c r="W6" s="65">
        <v>1000</v>
      </c>
      <c r="X6" t="s">
        <v>49</v>
      </c>
      <c r="Y6" s="64"/>
      <c r="Z6" s="65">
        <v>1000</v>
      </c>
      <c r="AA6" t="s">
        <v>49</v>
      </c>
      <c r="AB6" t="s">
        <v>50</v>
      </c>
      <c r="AC6">
        <v>30</v>
      </c>
      <c r="AE6" t="s">
        <v>51</v>
      </c>
      <c r="AF6" s="57">
        <v>0.006</v>
      </c>
      <c r="AH6" t="s">
        <v>51</v>
      </c>
      <c r="AI6" s="57">
        <v>0.006</v>
      </c>
      <c r="AK6" s="66"/>
      <c r="AL6" s="67">
        <f>1/1000</f>
        <v>0.001</v>
      </c>
      <c r="AM6" s="59" t="s">
        <v>49</v>
      </c>
      <c r="AN6" s="59"/>
      <c r="AO6" s="59"/>
      <c r="AP6" s="59"/>
      <c r="AQ6" s="59"/>
      <c r="AR6" s="59"/>
      <c r="AS6" s="59"/>
      <c r="AT6" t="s">
        <v>52</v>
      </c>
      <c r="AU6">
        <v>30</v>
      </c>
      <c r="AV6" t="s">
        <v>53</v>
      </c>
      <c r="AW6" t="s">
        <v>52</v>
      </c>
      <c r="AX6">
        <v>30</v>
      </c>
      <c r="AY6" t="s">
        <v>53</v>
      </c>
      <c r="AZ6" t="s">
        <v>52</v>
      </c>
      <c r="BA6">
        <v>30</v>
      </c>
      <c r="BB6" t="s">
        <v>53</v>
      </c>
      <c r="BC6" t="s">
        <v>52</v>
      </c>
      <c r="BD6">
        <v>30</v>
      </c>
      <c r="BE6" t="s">
        <v>53</v>
      </c>
      <c r="BF6" t="s">
        <v>52</v>
      </c>
      <c r="BG6">
        <v>25</v>
      </c>
      <c r="BH6" t="s">
        <v>53</v>
      </c>
      <c r="BI6" t="s">
        <v>52</v>
      </c>
      <c r="BJ6">
        <v>25</v>
      </c>
      <c r="BK6" t="s">
        <v>53</v>
      </c>
      <c r="BL6" t="s">
        <v>52</v>
      </c>
      <c r="BM6">
        <v>25</v>
      </c>
      <c r="BN6" t="s">
        <v>53</v>
      </c>
      <c r="BO6" t="s">
        <v>52</v>
      </c>
      <c r="BP6">
        <v>25</v>
      </c>
      <c r="BQ6" t="s">
        <v>53</v>
      </c>
      <c r="BR6" t="s">
        <v>52</v>
      </c>
      <c r="BS6">
        <v>25</v>
      </c>
      <c r="BT6" t="s">
        <v>53</v>
      </c>
      <c r="BU6" t="s">
        <v>52</v>
      </c>
      <c r="BV6">
        <v>25</v>
      </c>
      <c r="BW6" t="s">
        <v>53</v>
      </c>
      <c r="BX6" s="61" t="s">
        <v>14</v>
      </c>
      <c r="BY6" s="68">
        <f>H3</f>
        <v>0.43523008902521554</v>
      </c>
      <c r="BZ6" s="62" t="s">
        <v>19</v>
      </c>
      <c r="CF6" s="57"/>
    </row>
    <row r="7" spans="1:78" ht="12.75">
      <c r="A7" t="s">
        <v>47</v>
      </c>
      <c r="B7">
        <v>350</v>
      </c>
      <c r="C7" t="s">
        <v>54</v>
      </c>
      <c r="D7" t="s">
        <v>47</v>
      </c>
      <c r="E7">
        <v>225</v>
      </c>
      <c r="F7" t="s">
        <v>54</v>
      </c>
      <c r="G7" s="58" t="s">
        <v>55</v>
      </c>
      <c r="H7" s="57">
        <v>1.04E-10</v>
      </c>
      <c r="I7" s="58" t="s">
        <v>56</v>
      </c>
      <c r="J7" s="58" t="s">
        <v>57</v>
      </c>
      <c r="K7" s="69">
        <f>0.000000000000133</f>
        <v>1.3300000000000001E-13</v>
      </c>
      <c r="L7" s="58"/>
      <c r="M7" s="58" t="s">
        <v>58</v>
      </c>
      <c r="N7" s="70">
        <v>1.34E-10</v>
      </c>
      <c r="O7" s="58" t="s">
        <v>56</v>
      </c>
      <c r="P7" s="58"/>
      <c r="Q7" s="58"/>
      <c r="R7" s="58"/>
      <c r="S7" s="58" t="s">
        <v>59</v>
      </c>
      <c r="T7" s="63">
        <v>250</v>
      </c>
      <c r="U7" s="58" t="s">
        <v>48</v>
      </c>
      <c r="V7" s="58" t="s">
        <v>60</v>
      </c>
      <c r="W7" s="63">
        <v>225</v>
      </c>
      <c r="X7" s="58" t="s">
        <v>48</v>
      </c>
      <c r="Y7" s="58" t="s">
        <v>61</v>
      </c>
      <c r="Z7" s="63">
        <v>250</v>
      </c>
      <c r="AA7" s="58" t="s">
        <v>48</v>
      </c>
      <c r="AB7" s="58" t="s">
        <v>47</v>
      </c>
      <c r="AC7" s="58">
        <v>350</v>
      </c>
      <c r="AD7" s="58"/>
      <c r="AE7" t="s">
        <v>62</v>
      </c>
      <c r="AF7">
        <v>1</v>
      </c>
      <c r="AG7" s="58"/>
      <c r="AH7" s="58" t="s">
        <v>63</v>
      </c>
      <c r="AI7" s="58">
        <v>1</v>
      </c>
      <c r="AJ7" s="58"/>
      <c r="AK7" s="58" t="s">
        <v>58</v>
      </c>
      <c r="AL7" s="71">
        <v>1.34E-10</v>
      </c>
      <c r="AM7" s="58" t="s">
        <v>56</v>
      </c>
      <c r="AN7" s="58" t="s">
        <v>58</v>
      </c>
      <c r="AO7" s="71">
        <v>1.34E-10</v>
      </c>
      <c r="AP7" s="58" t="s">
        <v>56</v>
      </c>
      <c r="AQ7" s="58" t="s">
        <v>58</v>
      </c>
      <c r="AR7" s="71">
        <v>1.34E-10</v>
      </c>
      <c r="AS7" s="58" t="s">
        <v>56</v>
      </c>
      <c r="AT7" t="s">
        <v>46</v>
      </c>
      <c r="AU7" s="70">
        <v>0.0016</v>
      </c>
      <c r="AW7" t="s">
        <v>46</v>
      </c>
      <c r="AX7" s="70">
        <f>AU7</f>
        <v>0.0016</v>
      </c>
      <c r="AZ7" t="s">
        <v>46</v>
      </c>
      <c r="BA7" s="70">
        <f>AX7</f>
        <v>0.0016</v>
      </c>
      <c r="BC7" t="s">
        <v>46</v>
      </c>
      <c r="BD7" s="70">
        <f>BA7</f>
        <v>0.0016</v>
      </c>
      <c r="BF7" t="s">
        <v>46</v>
      </c>
      <c r="BG7" s="70">
        <v>0.0016</v>
      </c>
      <c r="BI7" t="s">
        <v>46</v>
      </c>
      <c r="BJ7" s="70">
        <v>0.0016</v>
      </c>
      <c r="BL7" t="s">
        <v>46</v>
      </c>
      <c r="BM7" s="70">
        <v>0.0016</v>
      </c>
      <c r="BO7" t="s">
        <v>46</v>
      </c>
      <c r="BP7" s="70">
        <v>0.0016</v>
      </c>
      <c r="BR7" s="61" t="s">
        <v>46</v>
      </c>
      <c r="BS7" s="68">
        <v>0.0016</v>
      </c>
      <c r="BT7" s="61"/>
      <c r="BU7" s="61" t="s">
        <v>46</v>
      </c>
      <c r="BV7" s="68">
        <v>0.0016</v>
      </c>
      <c r="BW7" s="61"/>
      <c r="BX7" s="61" t="s">
        <v>46</v>
      </c>
      <c r="BY7" s="68">
        <v>0.0016</v>
      </c>
      <c r="BZ7" s="61"/>
    </row>
    <row r="8" spans="1:78" ht="12.75">
      <c r="A8" t="s">
        <v>50</v>
      </c>
      <c r="B8">
        <v>30</v>
      </c>
      <c r="C8" t="s">
        <v>53</v>
      </c>
      <c r="D8" t="s">
        <v>50</v>
      </c>
      <c r="E8">
        <v>25</v>
      </c>
      <c r="F8" t="s">
        <v>53</v>
      </c>
      <c r="G8" s="58" t="s">
        <v>64</v>
      </c>
      <c r="H8" s="65">
        <f>(H9*H10+H15*H12)/H11</f>
        <v>1.8</v>
      </c>
      <c r="I8" s="58" t="s">
        <v>65</v>
      </c>
      <c r="J8" s="58" t="s">
        <v>66</v>
      </c>
      <c r="K8" s="69">
        <v>1.04E-10</v>
      </c>
      <c r="L8" s="58"/>
      <c r="M8" s="58" t="s">
        <v>47</v>
      </c>
      <c r="N8" s="63">
        <v>350</v>
      </c>
      <c r="O8" s="58" t="s">
        <v>48</v>
      </c>
      <c r="P8" s="58" t="s">
        <v>67</v>
      </c>
      <c r="Q8" s="58">
        <v>350</v>
      </c>
      <c r="R8" s="58"/>
      <c r="S8" s="58" t="s">
        <v>68</v>
      </c>
      <c r="T8">
        <v>9.1E-11</v>
      </c>
      <c r="U8" t="s">
        <v>56</v>
      </c>
      <c r="V8" t="s">
        <v>68</v>
      </c>
      <c r="W8" s="65">
        <f>T8</f>
        <v>9.1E-11</v>
      </c>
      <c r="X8" t="s">
        <v>56</v>
      </c>
      <c r="Y8" t="s">
        <v>68</v>
      </c>
      <c r="Z8" s="65">
        <f>W8</f>
        <v>9.1E-11</v>
      </c>
      <c r="AA8" s="58" t="s">
        <v>56</v>
      </c>
      <c r="AB8" s="58" t="s">
        <v>58</v>
      </c>
      <c r="AC8" s="69">
        <v>1.34E-10</v>
      </c>
      <c r="AD8" s="58"/>
      <c r="AE8" t="s">
        <v>69</v>
      </c>
      <c r="AF8" s="58">
        <v>1</v>
      </c>
      <c r="AG8" s="58"/>
      <c r="AH8" s="58" t="s">
        <v>70</v>
      </c>
      <c r="AI8" s="58">
        <v>1</v>
      </c>
      <c r="AJ8" s="58"/>
      <c r="AK8" s="72" t="s">
        <v>71</v>
      </c>
      <c r="AL8" s="73">
        <v>350</v>
      </c>
      <c r="AM8" s="72" t="s">
        <v>48</v>
      </c>
      <c r="AN8" s="72" t="s">
        <v>72</v>
      </c>
      <c r="AO8" s="73">
        <v>350</v>
      </c>
      <c r="AP8" s="72" t="s">
        <v>48</v>
      </c>
      <c r="AQ8" s="72" t="s">
        <v>72</v>
      </c>
      <c r="AR8" s="73">
        <v>350</v>
      </c>
      <c r="AS8" s="72" t="s">
        <v>48</v>
      </c>
      <c r="AT8" t="s">
        <v>47</v>
      </c>
      <c r="AU8">
        <v>350</v>
      </c>
      <c r="AV8" t="s">
        <v>54</v>
      </c>
      <c r="AW8" t="s">
        <v>47</v>
      </c>
      <c r="AX8">
        <v>350</v>
      </c>
      <c r="AY8" t="s">
        <v>54</v>
      </c>
      <c r="AZ8" t="s">
        <v>47</v>
      </c>
      <c r="BA8">
        <v>350</v>
      </c>
      <c r="BB8" t="s">
        <v>54</v>
      </c>
      <c r="BC8" t="s">
        <v>47</v>
      </c>
      <c r="BD8">
        <v>350</v>
      </c>
      <c r="BE8" t="s">
        <v>54</v>
      </c>
      <c r="BF8" t="s">
        <v>47</v>
      </c>
      <c r="BG8">
        <v>250</v>
      </c>
      <c r="BH8" t="s">
        <v>54</v>
      </c>
      <c r="BI8" t="s">
        <v>47</v>
      </c>
      <c r="BJ8">
        <v>250</v>
      </c>
      <c r="BK8" t="s">
        <v>54</v>
      </c>
      <c r="BL8" t="s">
        <v>47</v>
      </c>
      <c r="BM8">
        <v>225</v>
      </c>
      <c r="BN8" t="s">
        <v>54</v>
      </c>
      <c r="BO8" t="s">
        <v>47</v>
      </c>
      <c r="BP8">
        <v>225</v>
      </c>
      <c r="BQ8" t="s">
        <v>54</v>
      </c>
      <c r="BR8" s="61" t="s">
        <v>47</v>
      </c>
      <c r="BS8" s="61">
        <v>250</v>
      </c>
      <c r="BT8" s="61" t="s">
        <v>54</v>
      </c>
      <c r="BU8" s="61" t="s">
        <v>47</v>
      </c>
      <c r="BV8" s="61">
        <v>250</v>
      </c>
      <c r="BW8" s="61" t="s">
        <v>54</v>
      </c>
      <c r="BX8" s="61" t="s">
        <v>73</v>
      </c>
      <c r="BY8" s="61">
        <v>0.30000000000000004</v>
      </c>
      <c r="BZ8" s="61"/>
    </row>
    <row r="9" spans="1:78" ht="12.75">
      <c r="A9" t="s">
        <v>74</v>
      </c>
      <c r="B9" s="70">
        <v>2.81E-08</v>
      </c>
      <c r="C9" s="74" t="s">
        <v>56</v>
      </c>
      <c r="D9" t="s">
        <v>74</v>
      </c>
      <c r="E9" s="70">
        <v>2.81E-08</v>
      </c>
      <c r="F9" s="74" t="s">
        <v>56</v>
      </c>
      <c r="G9" s="58" t="s">
        <v>75</v>
      </c>
      <c r="H9" s="65">
        <f>6</f>
        <v>6</v>
      </c>
      <c r="I9" t="s">
        <v>76</v>
      </c>
      <c r="J9" t="s">
        <v>77</v>
      </c>
      <c r="K9">
        <v>1</v>
      </c>
      <c r="M9" s="58" t="s">
        <v>68</v>
      </c>
      <c r="N9" s="57">
        <v>2.17E-10</v>
      </c>
      <c r="O9" s="58" t="s">
        <v>56</v>
      </c>
      <c r="P9" s="58" t="s">
        <v>68</v>
      </c>
      <c r="Q9" s="69">
        <v>2.17E-10</v>
      </c>
      <c r="R9" s="58"/>
      <c r="S9" s="58" t="s">
        <v>50</v>
      </c>
      <c r="T9" s="57">
        <v>25</v>
      </c>
      <c r="U9" s="58" t="s">
        <v>78</v>
      </c>
      <c r="V9" s="58" t="s">
        <v>50</v>
      </c>
      <c r="W9" s="57">
        <v>25</v>
      </c>
      <c r="X9" s="58" t="s">
        <v>78</v>
      </c>
      <c r="Y9" s="58" t="s">
        <v>50</v>
      </c>
      <c r="Z9" s="57">
        <v>25</v>
      </c>
      <c r="AA9" s="58" t="s">
        <v>78</v>
      </c>
      <c r="AB9" s="58" t="s">
        <v>79</v>
      </c>
      <c r="AC9" s="58">
        <v>1</v>
      </c>
      <c r="AD9" s="58"/>
      <c r="AE9" t="s">
        <v>80</v>
      </c>
      <c r="AF9" s="58">
        <v>1</v>
      </c>
      <c r="AG9" s="58"/>
      <c r="AH9" s="58"/>
      <c r="AI9" s="58"/>
      <c r="AJ9" s="58"/>
      <c r="AK9" s="58" t="s">
        <v>68</v>
      </c>
      <c r="AL9" s="71">
        <f>N9</f>
        <v>2.17E-10</v>
      </c>
      <c r="AM9" s="58" t="s">
        <v>56</v>
      </c>
      <c r="AN9" s="58" t="s">
        <v>68</v>
      </c>
      <c r="AO9" s="71">
        <f>AL9</f>
        <v>2.17E-10</v>
      </c>
      <c r="AP9" s="58" t="s">
        <v>56</v>
      </c>
      <c r="AQ9" s="58" t="s">
        <v>68</v>
      </c>
      <c r="AR9" s="71">
        <f>AO9</f>
        <v>2.17E-10</v>
      </c>
      <c r="AS9" s="58" t="s">
        <v>56</v>
      </c>
      <c r="AT9" t="s">
        <v>50</v>
      </c>
      <c r="AU9">
        <v>30</v>
      </c>
      <c r="AV9" t="s">
        <v>53</v>
      </c>
      <c r="AW9" t="s">
        <v>50</v>
      </c>
      <c r="AX9">
        <v>30</v>
      </c>
      <c r="AY9" t="s">
        <v>53</v>
      </c>
      <c r="AZ9" t="s">
        <v>50</v>
      </c>
      <c r="BA9">
        <v>30</v>
      </c>
      <c r="BB9" t="s">
        <v>53</v>
      </c>
      <c r="BC9" t="s">
        <v>50</v>
      </c>
      <c r="BD9">
        <v>30</v>
      </c>
      <c r="BE9" t="s">
        <v>53</v>
      </c>
      <c r="BF9" t="s">
        <v>50</v>
      </c>
      <c r="BG9">
        <v>25</v>
      </c>
      <c r="BH9" t="s">
        <v>53</v>
      </c>
      <c r="BI9" t="s">
        <v>50</v>
      </c>
      <c r="BJ9">
        <v>25</v>
      </c>
      <c r="BK9" t="s">
        <v>53</v>
      </c>
      <c r="BL9" t="s">
        <v>50</v>
      </c>
      <c r="BM9">
        <v>25</v>
      </c>
      <c r="BN9" t="s">
        <v>53</v>
      </c>
      <c r="BO9" t="s">
        <v>50</v>
      </c>
      <c r="BP9">
        <v>25</v>
      </c>
      <c r="BQ9" t="s">
        <v>53</v>
      </c>
      <c r="BR9" t="s">
        <v>50</v>
      </c>
      <c r="BS9">
        <v>25</v>
      </c>
      <c r="BT9" t="s">
        <v>53</v>
      </c>
      <c r="BU9" t="s">
        <v>50</v>
      </c>
      <c r="BV9">
        <v>25</v>
      </c>
      <c r="BW9" t="s">
        <v>53</v>
      </c>
      <c r="BX9" s="61" t="s">
        <v>81</v>
      </c>
      <c r="BY9" s="68">
        <v>1.5</v>
      </c>
      <c r="BZ9" s="61"/>
    </row>
    <row r="10" spans="1:78" ht="12.75">
      <c r="A10" s="58" t="s">
        <v>82</v>
      </c>
      <c r="B10" s="65">
        <f>(B11*B15+B12*B16)/(B15+B16)</f>
        <v>18</v>
      </c>
      <c r="C10" t="s">
        <v>83</v>
      </c>
      <c r="D10" t="s">
        <v>84</v>
      </c>
      <c r="E10" s="63">
        <v>8</v>
      </c>
      <c r="F10" s="74" t="s">
        <v>85</v>
      </c>
      <c r="G10" s="58" t="s">
        <v>86</v>
      </c>
      <c r="H10" s="65">
        <v>1</v>
      </c>
      <c r="J10" t="s">
        <v>87</v>
      </c>
      <c r="K10">
        <v>8</v>
      </c>
      <c r="M10" s="58" t="s">
        <v>88</v>
      </c>
      <c r="N10" s="65">
        <f>(N13*N12+N16*N15)/(N12+N15)</f>
        <v>120</v>
      </c>
      <c r="O10" s="58" t="s">
        <v>89</v>
      </c>
      <c r="P10" s="58" t="s">
        <v>90</v>
      </c>
      <c r="Q10" s="69">
        <v>2.7600000000000002E-08</v>
      </c>
      <c r="R10" s="58"/>
      <c r="S10" s="58" t="s">
        <v>91</v>
      </c>
      <c r="T10" s="65">
        <v>50</v>
      </c>
      <c r="V10" s="58" t="s">
        <v>92</v>
      </c>
      <c r="W10" s="65">
        <v>100</v>
      </c>
      <c r="Y10" s="58" t="s">
        <v>93</v>
      </c>
      <c r="Z10" s="65">
        <v>100</v>
      </c>
      <c r="AB10" t="s">
        <v>94</v>
      </c>
      <c r="AC10">
        <v>1</v>
      </c>
      <c r="AE10" s="58" t="s">
        <v>95</v>
      </c>
      <c r="AF10" s="58">
        <v>1</v>
      </c>
      <c r="AH10" t="s">
        <v>96</v>
      </c>
      <c r="AI10" s="57">
        <f>AC12/(AI6*AI7/1000)</f>
        <v>43236.199952617855</v>
      </c>
      <c r="AJ10" t="s">
        <v>34</v>
      </c>
      <c r="AK10" s="72" t="s">
        <v>97</v>
      </c>
      <c r="AL10" s="59">
        <f>(AL13*AL12+AL16*AL15)/(AL11)</f>
        <v>115</v>
      </c>
      <c r="AM10" s="72" t="s">
        <v>89</v>
      </c>
      <c r="AN10" s="72" t="s">
        <v>97</v>
      </c>
      <c r="AO10" s="59">
        <f>(AO13*AO12+AO16*AO15)/(AO11)</f>
        <v>115</v>
      </c>
      <c r="AP10" s="72" t="s">
        <v>89</v>
      </c>
      <c r="AQ10" s="72" t="s">
        <v>97</v>
      </c>
      <c r="AR10" s="59">
        <f>(AR13*AR12+AR16*AR15)/(AR11)</f>
        <v>115</v>
      </c>
      <c r="AS10" s="72" t="s">
        <v>89</v>
      </c>
      <c r="AT10" t="s">
        <v>98</v>
      </c>
      <c r="AU10">
        <v>0.4</v>
      </c>
      <c r="AW10" t="s">
        <v>98</v>
      </c>
      <c r="AX10">
        <v>0.4</v>
      </c>
      <c r="AZ10" t="s">
        <v>98</v>
      </c>
      <c r="BA10">
        <v>0.4</v>
      </c>
      <c r="BC10" t="s">
        <v>98</v>
      </c>
      <c r="BD10">
        <v>0.4</v>
      </c>
      <c r="BF10" t="s">
        <v>98</v>
      </c>
      <c r="BG10">
        <v>0.4</v>
      </c>
      <c r="BI10" t="s">
        <v>98</v>
      </c>
      <c r="BJ10">
        <v>0.4</v>
      </c>
      <c r="BL10" t="s">
        <v>98</v>
      </c>
      <c r="BM10">
        <v>0.4</v>
      </c>
      <c r="BO10" t="s">
        <v>98</v>
      </c>
      <c r="BP10">
        <v>0.4</v>
      </c>
      <c r="BR10" s="61"/>
      <c r="BS10" s="61"/>
      <c r="BT10" s="61"/>
      <c r="BU10" s="61"/>
      <c r="BV10" s="61"/>
      <c r="BW10" s="61"/>
      <c r="BX10" s="61" t="s">
        <v>99</v>
      </c>
      <c r="BY10" s="61">
        <v>30</v>
      </c>
      <c r="BZ10" s="61"/>
    </row>
    <row r="11" spans="1:78" ht="12.75">
      <c r="A11" s="58" t="s">
        <v>100</v>
      </c>
      <c r="B11" s="75">
        <v>10</v>
      </c>
      <c r="C11" s="75" t="s">
        <v>83</v>
      </c>
      <c r="E11" s="63">
        <v>24</v>
      </c>
      <c r="F11" s="74" t="s">
        <v>85</v>
      </c>
      <c r="G11" s="58" t="s">
        <v>101</v>
      </c>
      <c r="H11" s="65">
        <f>B8</f>
        <v>30</v>
      </c>
      <c r="I11" t="s">
        <v>76</v>
      </c>
      <c r="J11" t="s">
        <v>47</v>
      </c>
      <c r="K11">
        <v>350</v>
      </c>
      <c r="M11" s="58" t="s">
        <v>50</v>
      </c>
      <c r="N11" s="65">
        <v>30</v>
      </c>
      <c r="O11" s="58" t="s">
        <v>78</v>
      </c>
      <c r="P11" s="58" t="s">
        <v>74</v>
      </c>
      <c r="Q11" s="69">
        <v>2.81E-08</v>
      </c>
      <c r="R11" s="58"/>
      <c r="S11" s="58" t="s">
        <v>102</v>
      </c>
      <c r="T11" s="75">
        <v>60</v>
      </c>
      <c r="U11" s="75" t="s">
        <v>83</v>
      </c>
      <c r="V11" s="58" t="s">
        <v>102</v>
      </c>
      <c r="W11" s="75">
        <v>60</v>
      </c>
      <c r="X11" s="75" t="s">
        <v>83</v>
      </c>
      <c r="Y11" s="58" t="s">
        <v>102</v>
      </c>
      <c r="Z11" s="75">
        <v>60</v>
      </c>
      <c r="AA11" s="75" t="s">
        <v>83</v>
      </c>
      <c r="AB11" s="75"/>
      <c r="AC11" s="75"/>
      <c r="AD11" s="75"/>
      <c r="AE11" t="s">
        <v>103</v>
      </c>
      <c r="AF11">
        <v>1</v>
      </c>
      <c r="AG11" s="75"/>
      <c r="AH11" s="75" t="s">
        <v>104</v>
      </c>
      <c r="AI11" s="76">
        <f>AC13/(AI5*AI8/1000)</f>
        <v>5188343.9943141425</v>
      </c>
      <c r="AJ11" s="75" t="s">
        <v>34</v>
      </c>
      <c r="AK11" s="72" t="s">
        <v>105</v>
      </c>
      <c r="AL11" s="59">
        <v>40</v>
      </c>
      <c r="AM11" s="72" t="s">
        <v>78</v>
      </c>
      <c r="AN11" s="72" t="s">
        <v>105</v>
      </c>
      <c r="AO11" s="59">
        <v>40</v>
      </c>
      <c r="AP11" s="72" t="s">
        <v>78</v>
      </c>
      <c r="AQ11" s="72" t="s">
        <v>105</v>
      </c>
      <c r="AR11" s="59">
        <v>40</v>
      </c>
      <c r="AS11" s="72" t="s">
        <v>78</v>
      </c>
      <c r="AT11" t="s">
        <v>106</v>
      </c>
      <c r="AU11">
        <v>1</v>
      </c>
      <c r="AW11" t="s">
        <v>106</v>
      </c>
      <c r="AX11">
        <v>1</v>
      </c>
      <c r="AZ11" t="s">
        <v>106</v>
      </c>
      <c r="BA11">
        <v>1</v>
      </c>
      <c r="BC11" t="s">
        <v>106</v>
      </c>
      <c r="BD11">
        <v>1</v>
      </c>
      <c r="BF11" t="s">
        <v>106</v>
      </c>
      <c r="BG11">
        <v>1</v>
      </c>
      <c r="BI11" t="s">
        <v>106</v>
      </c>
      <c r="BJ11">
        <v>1</v>
      </c>
      <c r="BL11" t="s">
        <v>106</v>
      </c>
      <c r="BM11">
        <v>1</v>
      </c>
      <c r="BO11" t="s">
        <v>106</v>
      </c>
      <c r="BP11">
        <v>1</v>
      </c>
      <c r="BR11" s="61" t="s">
        <v>106</v>
      </c>
      <c r="BS11" s="61">
        <v>1</v>
      </c>
      <c r="BT11" s="61"/>
      <c r="BU11" s="61" t="s">
        <v>106</v>
      </c>
      <c r="BV11" s="61">
        <v>1</v>
      </c>
      <c r="BW11" s="61"/>
      <c r="BX11" s="61" t="s">
        <v>107</v>
      </c>
      <c r="BY11" s="68">
        <v>20</v>
      </c>
      <c r="BZ11" s="61"/>
    </row>
    <row r="12" spans="1:78" ht="12.75">
      <c r="A12" s="58" t="s">
        <v>108</v>
      </c>
      <c r="B12" s="75">
        <v>20</v>
      </c>
      <c r="C12" s="75" t="s">
        <v>83</v>
      </c>
      <c r="D12" t="s">
        <v>109</v>
      </c>
      <c r="E12" s="57">
        <v>60</v>
      </c>
      <c r="F12" s="74" t="s">
        <v>83</v>
      </c>
      <c r="G12" s="58" t="s">
        <v>110</v>
      </c>
      <c r="H12" s="65">
        <v>2</v>
      </c>
      <c r="J12" t="s">
        <v>50</v>
      </c>
      <c r="K12">
        <v>30</v>
      </c>
      <c r="M12" s="58" t="s">
        <v>111</v>
      </c>
      <c r="N12" s="65">
        <v>6</v>
      </c>
      <c r="P12" t="s">
        <v>112</v>
      </c>
      <c r="Q12">
        <v>0.249</v>
      </c>
      <c r="S12" s="58" t="s">
        <v>113</v>
      </c>
      <c r="T12" s="75">
        <v>0.4</v>
      </c>
      <c r="U12" s="75"/>
      <c r="V12" s="58" t="s">
        <v>113</v>
      </c>
      <c r="W12" s="75">
        <v>1</v>
      </c>
      <c r="X12" s="75"/>
      <c r="Y12" s="58" t="s">
        <v>113</v>
      </c>
      <c r="Z12" s="75">
        <v>1</v>
      </c>
      <c r="AA12" s="75"/>
      <c r="AB12" s="75" t="s">
        <v>96</v>
      </c>
      <c r="AC12" s="76">
        <f>AC5/(AC6*AC7/365*AC8*AC9*1000)</f>
        <v>0.25941719971570715</v>
      </c>
      <c r="AD12" s="75" t="s">
        <v>34</v>
      </c>
      <c r="AE12" t="s">
        <v>114</v>
      </c>
      <c r="AF12" s="58">
        <v>1</v>
      </c>
      <c r="AG12" s="75"/>
      <c r="AH12" s="75"/>
      <c r="AI12" s="75"/>
      <c r="AJ12" s="75"/>
      <c r="AK12" s="72" t="s">
        <v>115</v>
      </c>
      <c r="AL12" s="59">
        <v>6</v>
      </c>
      <c r="AM12" s="59"/>
      <c r="AN12" s="72" t="s">
        <v>115</v>
      </c>
      <c r="AO12" s="59">
        <v>6</v>
      </c>
      <c r="AP12" s="59"/>
      <c r="AQ12" s="72" t="s">
        <v>115</v>
      </c>
      <c r="AR12" s="59">
        <v>6</v>
      </c>
      <c r="AS12" s="59"/>
      <c r="AT12" t="s">
        <v>112</v>
      </c>
      <c r="AU12">
        <v>0.965</v>
      </c>
      <c r="AW12" t="s">
        <v>112</v>
      </c>
      <c r="AX12" s="65">
        <f>AU12</f>
        <v>0.965</v>
      </c>
      <c r="AZ12" t="s">
        <v>112</v>
      </c>
      <c r="BA12" s="65">
        <f>0.249</f>
        <v>0.249</v>
      </c>
      <c r="BC12" t="s">
        <v>112</v>
      </c>
      <c r="BD12" s="65">
        <f>BA12</f>
        <v>0.249</v>
      </c>
      <c r="BF12" t="s">
        <v>112</v>
      </c>
      <c r="BG12" s="65">
        <f>AU12</f>
        <v>0.965</v>
      </c>
      <c r="BI12" t="s">
        <v>112</v>
      </c>
      <c r="BJ12" s="65">
        <f>AX12</f>
        <v>0.965</v>
      </c>
      <c r="BL12" t="s">
        <v>112</v>
      </c>
      <c r="BM12" s="65">
        <f>BG12</f>
        <v>0.965</v>
      </c>
      <c r="BO12" t="s">
        <v>112</v>
      </c>
      <c r="BP12" s="65">
        <f>BJ12</f>
        <v>0.965</v>
      </c>
      <c r="BR12" s="61" t="s">
        <v>112</v>
      </c>
      <c r="BS12" s="61">
        <v>0.965</v>
      </c>
      <c r="BT12" s="61"/>
      <c r="BU12" s="61" t="s">
        <v>112</v>
      </c>
      <c r="BV12" s="61">
        <v>0.965</v>
      </c>
      <c r="BW12" s="61"/>
      <c r="BX12" s="61" t="s">
        <v>116</v>
      </c>
      <c r="BY12" s="61">
        <v>8.2</v>
      </c>
      <c r="BZ12" s="61"/>
    </row>
    <row r="13" spans="1:78" ht="12.75">
      <c r="A13" t="s">
        <v>117</v>
      </c>
      <c r="B13">
        <v>24</v>
      </c>
      <c r="C13" t="s">
        <v>85</v>
      </c>
      <c r="D13" s="64" t="s">
        <v>118</v>
      </c>
      <c r="E13" s="57">
        <v>5.84E-11</v>
      </c>
      <c r="F13" s="64" t="s">
        <v>119</v>
      </c>
      <c r="G13" s="58" t="s">
        <v>120</v>
      </c>
      <c r="H13" s="75">
        <v>0.5</v>
      </c>
      <c r="I13" t="s">
        <v>121</v>
      </c>
      <c r="J13" t="s">
        <v>122</v>
      </c>
      <c r="K13">
        <v>0.5</v>
      </c>
      <c r="M13" s="58" t="s">
        <v>123</v>
      </c>
      <c r="N13" s="65">
        <v>200</v>
      </c>
      <c r="P13" t="s">
        <v>124</v>
      </c>
      <c r="Q13">
        <v>8</v>
      </c>
      <c r="S13" s="58" t="s">
        <v>112</v>
      </c>
      <c r="T13" s="75">
        <f>N22</f>
        <v>0.965</v>
      </c>
      <c r="U13" s="75"/>
      <c r="V13" s="58" t="s">
        <v>112</v>
      </c>
      <c r="W13" s="75">
        <v>0.965</v>
      </c>
      <c r="X13" s="75"/>
      <c r="Y13" s="58" t="s">
        <v>112</v>
      </c>
      <c r="Z13" s="75">
        <v>0.965</v>
      </c>
      <c r="AA13" s="75"/>
      <c r="AB13" s="75" t="s">
        <v>104</v>
      </c>
      <c r="AC13" s="76">
        <f>AC5/(AC6*AC7/365*AC8*AC10*1000)</f>
        <v>0.25941719971570715</v>
      </c>
      <c r="AD13" s="75" t="s">
        <v>34</v>
      </c>
      <c r="AE13" t="s">
        <v>125</v>
      </c>
      <c r="AF13" s="58">
        <v>1</v>
      </c>
      <c r="AG13" s="75"/>
      <c r="AH13" s="75"/>
      <c r="AI13" s="75"/>
      <c r="AJ13" s="75"/>
      <c r="AK13" s="72" t="s">
        <v>126</v>
      </c>
      <c r="AL13" s="59">
        <v>200</v>
      </c>
      <c r="AM13" s="59"/>
      <c r="AN13" s="72" t="s">
        <v>126</v>
      </c>
      <c r="AO13" s="59">
        <v>200</v>
      </c>
      <c r="AP13" s="59"/>
      <c r="AQ13" s="72" t="s">
        <v>126</v>
      </c>
      <c r="AR13" s="59">
        <v>200</v>
      </c>
      <c r="AS13" s="59"/>
      <c r="AT13" t="s">
        <v>127</v>
      </c>
      <c r="AU13">
        <v>0.073</v>
      </c>
      <c r="AV13" t="s">
        <v>128</v>
      </c>
      <c r="AW13" t="s">
        <v>127</v>
      </c>
      <c r="AX13">
        <v>0.073</v>
      </c>
      <c r="AY13" t="s">
        <v>128</v>
      </c>
      <c r="AZ13" t="s">
        <v>87</v>
      </c>
      <c r="BA13">
        <v>8</v>
      </c>
      <c r="BB13" t="s">
        <v>128</v>
      </c>
      <c r="BC13" t="s">
        <v>87</v>
      </c>
      <c r="BD13">
        <v>8</v>
      </c>
      <c r="BE13" t="s">
        <v>128</v>
      </c>
      <c r="BF13" t="s">
        <v>127</v>
      </c>
      <c r="BG13">
        <v>0</v>
      </c>
      <c r="BH13" t="s">
        <v>128</v>
      </c>
      <c r="BI13" t="s">
        <v>127</v>
      </c>
      <c r="BJ13">
        <v>0</v>
      </c>
      <c r="BK13" t="s">
        <v>128</v>
      </c>
      <c r="BL13" t="s">
        <v>127</v>
      </c>
      <c r="BM13">
        <v>0.33</v>
      </c>
      <c r="BN13" t="s">
        <v>128</v>
      </c>
      <c r="BO13" t="s">
        <v>87</v>
      </c>
      <c r="BP13">
        <v>0.33</v>
      </c>
      <c r="BQ13" t="s">
        <v>129</v>
      </c>
      <c r="BR13" s="61" t="s">
        <v>130</v>
      </c>
      <c r="BS13" s="61">
        <v>8</v>
      </c>
      <c r="BT13" s="61" t="s">
        <v>131</v>
      </c>
      <c r="BU13" s="61" t="s">
        <v>130</v>
      </c>
      <c r="BV13" s="61">
        <v>8</v>
      </c>
      <c r="BW13" s="61" t="s">
        <v>131</v>
      </c>
      <c r="BZ13" s="61"/>
    </row>
    <row r="14" spans="2:78" ht="12.75">
      <c r="B14">
        <v>24</v>
      </c>
      <c r="C14" t="s">
        <v>85</v>
      </c>
      <c r="D14" s="64" t="s">
        <v>113</v>
      </c>
      <c r="E14" s="64">
        <v>1</v>
      </c>
      <c r="G14" s="58" t="s">
        <v>74</v>
      </c>
      <c r="H14" s="70">
        <f>B9</f>
        <v>2.81E-08</v>
      </c>
      <c r="I14" s="74" t="s">
        <v>56</v>
      </c>
      <c r="J14" s="74"/>
      <c r="K14" s="74"/>
      <c r="L14" s="74"/>
      <c r="M14" s="58" t="s">
        <v>132</v>
      </c>
      <c r="N14" s="63">
        <v>15</v>
      </c>
      <c r="O14" s="74"/>
      <c r="P14" s="74" t="s">
        <v>133</v>
      </c>
      <c r="Q14" s="74">
        <v>1</v>
      </c>
      <c r="R14" s="74"/>
      <c r="S14" s="58" t="s">
        <v>90</v>
      </c>
      <c r="T14" s="57">
        <v>2.7600000000000002E-08</v>
      </c>
      <c r="U14" s="58" t="s">
        <v>134</v>
      </c>
      <c r="V14" s="58" t="s">
        <v>90</v>
      </c>
      <c r="W14" s="57">
        <v>2.7600000000000002E-08</v>
      </c>
      <c r="X14" s="58" t="s">
        <v>134</v>
      </c>
      <c r="Y14" s="58" t="s">
        <v>90</v>
      </c>
      <c r="Z14" s="57">
        <v>2.7600000000000002E-08</v>
      </c>
      <c r="AA14" s="58" t="s">
        <v>134</v>
      </c>
      <c r="AB14" s="58"/>
      <c r="AC14" s="58"/>
      <c r="AD14" s="58"/>
      <c r="AE14" s="58" t="s">
        <v>135</v>
      </c>
      <c r="AF14" s="58">
        <v>1</v>
      </c>
      <c r="AG14" s="58"/>
      <c r="AH14" s="58"/>
      <c r="AI14" s="58"/>
      <c r="AJ14" s="58"/>
      <c r="AK14" s="72" t="s">
        <v>132</v>
      </c>
      <c r="AL14" s="59">
        <v>15</v>
      </c>
      <c r="AM14" s="77"/>
      <c r="AN14" s="72" t="s">
        <v>132</v>
      </c>
      <c r="AO14" s="59">
        <v>15</v>
      </c>
      <c r="AP14" s="77"/>
      <c r="AQ14" s="72" t="s">
        <v>132</v>
      </c>
      <c r="AR14" s="59">
        <v>15</v>
      </c>
      <c r="AS14" s="77"/>
      <c r="AT14" t="s">
        <v>90</v>
      </c>
      <c r="AU14" s="70">
        <v>2.7600000000000002E-08</v>
      </c>
      <c r="AV14" s="74" t="s">
        <v>136</v>
      </c>
      <c r="AW14" t="s">
        <v>90</v>
      </c>
      <c r="AX14" s="70">
        <v>2.7600000000000002E-08</v>
      </c>
      <c r="AY14" s="74" t="s">
        <v>136</v>
      </c>
      <c r="AZ14" t="s">
        <v>90</v>
      </c>
      <c r="BA14" s="70">
        <v>2.7600000000000002E-08</v>
      </c>
      <c r="BB14" s="74" t="s">
        <v>136</v>
      </c>
      <c r="BC14" t="s">
        <v>90</v>
      </c>
      <c r="BD14" s="70">
        <v>2.7600000000000002E-08</v>
      </c>
      <c r="BE14" s="74" t="s">
        <v>136</v>
      </c>
      <c r="BF14" t="s">
        <v>90</v>
      </c>
      <c r="BG14" s="70">
        <f>AU14</f>
        <v>2.7600000000000002E-08</v>
      </c>
      <c r="BH14" s="74" t="s">
        <v>136</v>
      </c>
      <c r="BI14" t="s">
        <v>90</v>
      </c>
      <c r="BJ14" s="70">
        <f>AX14</f>
        <v>2.7600000000000002E-08</v>
      </c>
      <c r="BK14" s="74" t="s">
        <v>136</v>
      </c>
      <c r="BL14" t="s">
        <v>90</v>
      </c>
      <c r="BM14" s="70">
        <f>BG14</f>
        <v>2.7600000000000002E-08</v>
      </c>
      <c r="BN14" s="74" t="s">
        <v>136</v>
      </c>
      <c r="BO14" t="s">
        <v>90</v>
      </c>
      <c r="BP14" s="70">
        <f>BJ14</f>
        <v>2.7600000000000002E-08</v>
      </c>
      <c r="BQ14" s="74" t="s">
        <v>136</v>
      </c>
      <c r="BR14" s="61" t="s">
        <v>137</v>
      </c>
      <c r="BS14" s="68">
        <f>BM14</f>
        <v>2.7600000000000002E-08</v>
      </c>
      <c r="BT14" s="61" t="s">
        <v>138</v>
      </c>
      <c r="BU14" s="61" t="s">
        <v>137</v>
      </c>
      <c r="BV14" s="68">
        <f>BP14</f>
        <v>2.7600000000000002E-08</v>
      </c>
      <c r="BW14" s="61" t="s">
        <v>138</v>
      </c>
      <c r="BX14" s="61"/>
      <c r="BY14" s="68"/>
      <c r="BZ14" s="61"/>
    </row>
    <row r="15" spans="1:78" ht="12.75">
      <c r="A15" t="s">
        <v>139</v>
      </c>
      <c r="B15" s="57">
        <v>6</v>
      </c>
      <c r="C15" t="s">
        <v>53</v>
      </c>
      <c r="D15" t="s">
        <v>140</v>
      </c>
      <c r="E15" s="57">
        <f>(E5)/((E10/E11)*E7*E8*E9*E12)</f>
        <v>0.0003163305654408857</v>
      </c>
      <c r="F15" t="s">
        <v>33</v>
      </c>
      <c r="G15" s="58" t="s">
        <v>141</v>
      </c>
      <c r="H15" s="63">
        <f>H11-H9</f>
        <v>24</v>
      </c>
      <c r="I15" s="74" t="s">
        <v>76</v>
      </c>
      <c r="J15" s="74"/>
      <c r="K15" s="74"/>
      <c r="L15" s="74"/>
      <c r="M15" s="58" t="s">
        <v>101</v>
      </c>
      <c r="N15" s="65">
        <f>30-N12</f>
        <v>24</v>
      </c>
      <c r="P15" t="s">
        <v>142</v>
      </c>
      <c r="Q15">
        <v>30</v>
      </c>
      <c r="S15" s="58" t="s">
        <v>143</v>
      </c>
      <c r="T15" s="57">
        <v>1360000000</v>
      </c>
      <c r="U15" s="58" t="s">
        <v>144</v>
      </c>
      <c r="V15" s="58" t="s">
        <v>143</v>
      </c>
      <c r="W15" s="57">
        <v>1360000000</v>
      </c>
      <c r="X15" s="58" t="s">
        <v>144</v>
      </c>
      <c r="Y15" s="58" t="s">
        <v>143</v>
      </c>
      <c r="Z15" s="57">
        <v>1360000000</v>
      </c>
      <c r="AA15" s="58" t="s">
        <v>144</v>
      </c>
      <c r="AB15" s="58"/>
      <c r="AC15" s="58"/>
      <c r="AD15" s="58"/>
      <c r="AE15" s="58" t="s">
        <v>145</v>
      </c>
      <c r="AF15" s="57">
        <v>0.005</v>
      </c>
      <c r="AG15" s="58"/>
      <c r="AH15" s="58"/>
      <c r="AI15" s="58"/>
      <c r="AJ15" s="58"/>
      <c r="AK15" s="72" t="s">
        <v>146</v>
      </c>
      <c r="AL15" s="59">
        <v>34</v>
      </c>
      <c r="AM15" s="59"/>
      <c r="AN15" s="72" t="s">
        <v>146</v>
      </c>
      <c r="AO15" s="59">
        <v>34</v>
      </c>
      <c r="AP15" s="59"/>
      <c r="AQ15" s="72" t="s">
        <v>146</v>
      </c>
      <c r="AR15" s="59">
        <v>34</v>
      </c>
      <c r="AS15" s="59"/>
      <c r="AT15" t="s">
        <v>147</v>
      </c>
      <c r="AU15">
        <v>0.683</v>
      </c>
      <c r="AV15" t="s">
        <v>128</v>
      </c>
      <c r="AW15" t="s">
        <v>147</v>
      </c>
      <c r="AX15">
        <v>0.683</v>
      </c>
      <c r="AY15" t="s">
        <v>128</v>
      </c>
      <c r="BF15" s="74" t="s">
        <v>130</v>
      </c>
      <c r="BG15">
        <v>8</v>
      </c>
      <c r="BH15" s="74" t="s">
        <v>129</v>
      </c>
      <c r="BI15" s="74" t="s">
        <v>130</v>
      </c>
      <c r="BJ15">
        <v>8</v>
      </c>
      <c r="BK15" s="74" t="s">
        <v>129</v>
      </c>
      <c r="BL15" s="74" t="s">
        <v>130</v>
      </c>
      <c r="BM15">
        <v>8</v>
      </c>
      <c r="BN15" s="74" t="s">
        <v>129</v>
      </c>
      <c r="BO15" s="74" t="s">
        <v>130</v>
      </c>
      <c r="BP15">
        <v>8</v>
      </c>
      <c r="BQ15" s="74" t="s">
        <v>129</v>
      </c>
      <c r="BR15" s="74" t="s">
        <v>130</v>
      </c>
      <c r="BS15">
        <v>8</v>
      </c>
      <c r="BT15" s="74" t="s">
        <v>129</v>
      </c>
      <c r="BU15" s="74" t="s">
        <v>130</v>
      </c>
      <c r="BV15">
        <v>8</v>
      </c>
      <c r="BW15" s="74" t="s">
        <v>129</v>
      </c>
      <c r="BX15" s="61"/>
      <c r="BY15" s="61"/>
      <c r="BZ15" s="61"/>
    </row>
    <row r="16" spans="1:78" s="64" customFormat="1" ht="12.75">
      <c r="A16" s="64" t="s">
        <v>148</v>
      </c>
      <c r="B16" s="64">
        <v>24</v>
      </c>
      <c r="C16" s="64" t="s">
        <v>53</v>
      </c>
      <c r="D16" t="s">
        <v>149</v>
      </c>
      <c r="E16" s="57">
        <f>(E5)/((E10/E11)*E7*E8*E13*(1/365))</f>
        <v>3333.333333333333</v>
      </c>
      <c r="F16" t="s">
        <v>33</v>
      </c>
      <c r="G16" s="58" t="s">
        <v>150</v>
      </c>
      <c r="H16">
        <v>1</v>
      </c>
      <c r="I16" t="s">
        <v>151</v>
      </c>
      <c r="J16" t="s">
        <v>152</v>
      </c>
      <c r="K16" s="57">
        <f>K5/(K11*K12*K7/8760*K9*K10)</f>
        <v>784103.1149301826</v>
      </c>
      <c r="L16" t="s">
        <v>34</v>
      </c>
      <c r="M16" s="58" t="s">
        <v>153</v>
      </c>
      <c r="N16" s="65">
        <v>100</v>
      </c>
      <c r="O16"/>
      <c r="P16"/>
      <c r="Q16"/>
      <c r="R16"/>
      <c r="S16" s="58" t="s">
        <v>74</v>
      </c>
      <c r="T16" s="70">
        <v>2.81E-08</v>
      </c>
      <c r="U16" s="74" t="s">
        <v>56</v>
      </c>
      <c r="V16" s="58" t="s">
        <v>74</v>
      </c>
      <c r="W16" s="70">
        <v>2.81E-08</v>
      </c>
      <c r="X16" s="74" t="s">
        <v>56</v>
      </c>
      <c r="Y16" s="58" t="s">
        <v>74</v>
      </c>
      <c r="Z16" s="70">
        <v>2.81E-08</v>
      </c>
      <c r="AA16" s="74" t="s">
        <v>56</v>
      </c>
      <c r="AB16" s="74"/>
      <c r="AC16" s="74"/>
      <c r="AD16" s="74"/>
      <c r="AE16" s="74" t="s">
        <v>154</v>
      </c>
      <c r="AF16" s="74">
        <v>0.25</v>
      </c>
      <c r="AG16" s="74"/>
      <c r="AH16" s="74"/>
      <c r="AI16" s="74"/>
      <c r="AJ16" s="74"/>
      <c r="AK16" s="72" t="s">
        <v>155</v>
      </c>
      <c r="AL16" s="59">
        <v>100</v>
      </c>
      <c r="AM16" s="59"/>
      <c r="AN16" s="72" t="s">
        <v>155</v>
      </c>
      <c r="AO16" s="59">
        <v>100</v>
      </c>
      <c r="AP16" s="59"/>
      <c r="AQ16" s="72" t="s">
        <v>155</v>
      </c>
      <c r="AR16" s="59">
        <v>100</v>
      </c>
      <c r="AS16" s="59"/>
      <c r="BR16" s="62"/>
      <c r="BS16" s="62"/>
      <c r="BT16" s="62"/>
      <c r="BU16" s="62"/>
      <c r="BV16" s="62"/>
      <c r="BW16" s="62"/>
      <c r="BX16" s="62"/>
      <c r="BY16" s="62"/>
      <c r="BZ16" s="62"/>
    </row>
    <row r="17" spans="1:78" ht="12.75">
      <c r="A17" s="64" t="s">
        <v>118</v>
      </c>
      <c r="B17" s="57">
        <v>5.84E-11</v>
      </c>
      <c r="C17" s="64" t="s">
        <v>119</v>
      </c>
      <c r="D17" t="s">
        <v>140</v>
      </c>
      <c r="E17" s="57">
        <f>(E5*E6*E8)/((E10/E11)*(1-EXP(-E6*E8))*E9*E12*E7*E8)</f>
        <v>0.00032269935303374056</v>
      </c>
      <c r="F17" t="s">
        <v>35</v>
      </c>
      <c r="G17" s="58" t="s">
        <v>156</v>
      </c>
      <c r="H17">
        <v>1</v>
      </c>
      <c r="I17" t="s">
        <v>151</v>
      </c>
      <c r="J17" t="s">
        <v>157</v>
      </c>
      <c r="K17" s="57">
        <f>K5/(K6*K12*K8*K13*K10)</f>
        <v>0.2289377289377289</v>
      </c>
      <c r="L17" t="s">
        <v>34</v>
      </c>
      <c r="M17" s="58" t="s">
        <v>158</v>
      </c>
      <c r="N17" s="75">
        <v>70</v>
      </c>
      <c r="O17" s="64"/>
      <c r="P17" s="64" t="s">
        <v>159</v>
      </c>
      <c r="Q17" s="64">
        <v>100</v>
      </c>
      <c r="R17" s="64"/>
      <c r="S17" s="58" t="s">
        <v>130</v>
      </c>
      <c r="T17" s="70">
        <v>8</v>
      </c>
      <c r="U17" s="74"/>
      <c r="V17" s="58" t="s">
        <v>130</v>
      </c>
      <c r="W17" s="70">
        <v>8</v>
      </c>
      <c r="X17" s="74"/>
      <c r="Y17" s="58" t="s">
        <v>130</v>
      </c>
      <c r="Z17" s="70">
        <v>8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72" t="s">
        <v>158</v>
      </c>
      <c r="AL17" s="59">
        <v>70</v>
      </c>
      <c r="AM17" s="66"/>
      <c r="AN17" s="72" t="s">
        <v>158</v>
      </c>
      <c r="AO17" s="59">
        <v>70</v>
      </c>
      <c r="AP17" s="66"/>
      <c r="AQ17" s="72" t="s">
        <v>158</v>
      </c>
      <c r="AR17" s="59">
        <v>70</v>
      </c>
      <c r="AS17" s="66"/>
      <c r="AT17" s="17" t="s">
        <v>10</v>
      </c>
      <c r="AU17" s="17" t="s">
        <v>160</v>
      </c>
      <c r="AV17" s="17" t="s">
        <v>1</v>
      </c>
      <c r="AW17" s="17" t="s">
        <v>10</v>
      </c>
      <c r="AX17" s="17" t="s">
        <v>161</v>
      </c>
      <c r="AY17" s="17" t="s">
        <v>1</v>
      </c>
      <c r="AZ17" s="5" t="s">
        <v>10</v>
      </c>
      <c r="BA17" s="5" t="s">
        <v>162</v>
      </c>
      <c r="BB17" s="5" t="s">
        <v>1</v>
      </c>
      <c r="BC17" s="5" t="s">
        <v>10</v>
      </c>
      <c r="BD17" s="5" t="s">
        <v>161</v>
      </c>
      <c r="BE17" s="5" t="s">
        <v>1</v>
      </c>
      <c r="BF17" s="18" t="s">
        <v>10</v>
      </c>
      <c r="BG17" s="18" t="s">
        <v>160</v>
      </c>
      <c r="BH17" s="18" t="s">
        <v>1</v>
      </c>
      <c r="BI17" s="18" t="s">
        <v>10</v>
      </c>
      <c r="BJ17" s="18" t="s">
        <v>161</v>
      </c>
      <c r="BK17" s="18" t="s">
        <v>1</v>
      </c>
      <c r="BL17" s="19" t="s">
        <v>10</v>
      </c>
      <c r="BM17" s="19" t="s">
        <v>160</v>
      </c>
      <c r="BN17" s="19" t="s">
        <v>1</v>
      </c>
      <c r="BO17" s="19" t="s">
        <v>10</v>
      </c>
      <c r="BP17" s="19" t="s">
        <v>161</v>
      </c>
      <c r="BQ17" s="19" t="s">
        <v>1</v>
      </c>
      <c r="BR17" s="20" t="s">
        <v>10</v>
      </c>
      <c r="BS17" s="20" t="s">
        <v>160</v>
      </c>
      <c r="BT17" s="20" t="s">
        <v>1</v>
      </c>
      <c r="BU17" s="20" t="s">
        <v>10</v>
      </c>
      <c r="BV17" s="20" t="s">
        <v>161</v>
      </c>
      <c r="BW17" s="20" t="s">
        <v>1</v>
      </c>
      <c r="BX17" s="21" t="s">
        <v>14</v>
      </c>
      <c r="BY17" s="21" t="s">
        <v>1</v>
      </c>
      <c r="BZ17" s="21" t="s">
        <v>163</v>
      </c>
    </row>
    <row r="18" spans="1:78" ht="14.25">
      <c r="A18" s="64" t="s">
        <v>113</v>
      </c>
      <c r="B18" s="64">
        <v>1</v>
      </c>
      <c r="D18" t="s">
        <v>149</v>
      </c>
      <c r="E18" s="57">
        <f>(E5*E6*E8)/((E10/E11)*(1-EXP(-E6*E8))*E13*E7*E8*(1/365))</f>
        <v>3400.4444325930417</v>
      </c>
      <c r="F18" t="s">
        <v>35</v>
      </c>
      <c r="H18" s="65">
        <f>1/1000</f>
        <v>0.001</v>
      </c>
      <c r="I18" t="s">
        <v>164</v>
      </c>
      <c r="M18" s="58" t="s">
        <v>82</v>
      </c>
      <c r="N18" s="65">
        <f>(N12*N19+N15*N20)/(N12+N15)</f>
        <v>18</v>
      </c>
      <c r="O18" t="s">
        <v>83</v>
      </c>
      <c r="P18" t="s">
        <v>165</v>
      </c>
      <c r="Q18">
        <v>20</v>
      </c>
      <c r="S18" s="58" t="s">
        <v>166</v>
      </c>
      <c r="T18" s="63">
        <f>1/24</f>
        <v>0.041666666666666664</v>
      </c>
      <c r="V18" s="58" t="s">
        <v>166</v>
      </c>
      <c r="W18" s="63">
        <f>1/24</f>
        <v>0.041666666666666664</v>
      </c>
      <c r="Y18" s="58" t="s">
        <v>166</v>
      </c>
      <c r="Z18" s="63">
        <f>1/24</f>
        <v>0.041666666666666664</v>
      </c>
      <c r="AE18" t="s">
        <v>96</v>
      </c>
      <c r="AF18" s="57">
        <f>AC12/(AF6*((AF11*AF13*AF14*(AF15+AF16))+(AF12*AF13)))</f>
        <v>34.45115534073136</v>
      </c>
      <c r="AG18" t="s">
        <v>34</v>
      </c>
      <c r="AK18" s="72" t="s">
        <v>167</v>
      </c>
      <c r="AL18" s="59">
        <f>(AL12*AL19+AL15*AL20)/(AL11)</f>
        <v>18.5</v>
      </c>
      <c r="AM18" s="59" t="s">
        <v>83</v>
      </c>
      <c r="AN18" s="72" t="s">
        <v>167</v>
      </c>
      <c r="AO18" s="59">
        <f>(AO12*AO19+AO15*AO20)/(AO11)</f>
        <v>18.5</v>
      </c>
      <c r="AP18" s="59" t="s">
        <v>83</v>
      </c>
      <c r="AQ18" s="72" t="s">
        <v>167</v>
      </c>
      <c r="AR18" s="59">
        <f>(AR12*AR19+AR15*AR20)/(AR11)</f>
        <v>18.5</v>
      </c>
      <c r="AS18" s="59" t="s">
        <v>83</v>
      </c>
      <c r="AT18" s="25"/>
      <c r="AU18" s="17" t="s">
        <v>29</v>
      </c>
      <c r="AV18" s="26" t="s">
        <v>22</v>
      </c>
      <c r="AW18" s="25"/>
      <c r="AX18" s="17" t="s">
        <v>29</v>
      </c>
      <c r="AY18" s="26" t="s">
        <v>168</v>
      </c>
      <c r="AZ18" s="27"/>
      <c r="BA18" s="5" t="s">
        <v>8</v>
      </c>
      <c r="BB18" s="27" t="s">
        <v>22</v>
      </c>
      <c r="BC18" s="27"/>
      <c r="BD18" s="5" t="s">
        <v>8</v>
      </c>
      <c r="BE18" s="27" t="s">
        <v>22</v>
      </c>
      <c r="BF18" s="18" t="s">
        <v>5</v>
      </c>
      <c r="BG18" s="18" t="s">
        <v>30</v>
      </c>
      <c r="BH18" s="28" t="s">
        <v>22</v>
      </c>
      <c r="BI18" s="18" t="s">
        <v>5</v>
      </c>
      <c r="BJ18" s="18" t="s">
        <v>30</v>
      </c>
      <c r="BK18" s="28" t="s">
        <v>168</v>
      </c>
      <c r="BL18" s="19" t="s">
        <v>3</v>
      </c>
      <c r="BM18" s="19" t="s">
        <v>30</v>
      </c>
      <c r="BN18" s="29" t="s">
        <v>22</v>
      </c>
      <c r="BO18" s="19" t="s">
        <v>3</v>
      </c>
      <c r="BP18" s="19" t="s">
        <v>30</v>
      </c>
      <c r="BQ18" s="29" t="s">
        <v>168</v>
      </c>
      <c r="BR18" s="20" t="s">
        <v>31</v>
      </c>
      <c r="BS18" s="20" t="s">
        <v>30</v>
      </c>
      <c r="BT18" s="30" t="s">
        <v>22</v>
      </c>
      <c r="BU18" s="20" t="s">
        <v>31</v>
      </c>
      <c r="BV18" s="20" t="s">
        <v>30</v>
      </c>
      <c r="BW18" s="30" t="s">
        <v>168</v>
      </c>
      <c r="BX18" s="21" t="s">
        <v>22</v>
      </c>
      <c r="BY18" s="21" t="s">
        <v>29</v>
      </c>
      <c r="BZ18" s="21" t="s">
        <v>32</v>
      </c>
    </row>
    <row r="19" spans="1:78" ht="14.25">
      <c r="A19" t="s">
        <v>140</v>
      </c>
      <c r="B19" s="57">
        <f>(B5)/((B13/B14)*B7*B8*B9*B10)</f>
        <v>0.00018829200323862246</v>
      </c>
      <c r="C19" t="s">
        <v>33</v>
      </c>
      <c r="H19">
        <v>1000</v>
      </c>
      <c r="I19" t="s">
        <v>169</v>
      </c>
      <c r="M19" s="58" t="s">
        <v>100</v>
      </c>
      <c r="N19" s="75">
        <v>10</v>
      </c>
      <c r="O19" s="75" t="s">
        <v>83</v>
      </c>
      <c r="P19" s="75"/>
      <c r="Q19" s="75"/>
      <c r="R19" s="75"/>
      <c r="S19" s="63" t="s">
        <v>170</v>
      </c>
      <c r="T19" s="63">
        <v>25</v>
      </c>
      <c r="U19" s="63" t="s">
        <v>78</v>
      </c>
      <c r="V19" s="63" t="s">
        <v>170</v>
      </c>
      <c r="W19" s="63">
        <v>25</v>
      </c>
      <c r="X19" s="63" t="s">
        <v>78</v>
      </c>
      <c r="Y19" s="63" t="s">
        <v>170</v>
      </c>
      <c r="Z19" s="63">
        <v>25</v>
      </c>
      <c r="AA19" s="63" t="s">
        <v>78</v>
      </c>
      <c r="AB19" s="63"/>
      <c r="AC19" s="63"/>
      <c r="AD19" s="63"/>
      <c r="AE19" s="63" t="s">
        <v>104</v>
      </c>
      <c r="AF19" s="70">
        <f>AC13/(AF5*((AF7*AF9*AF10*(AF15+AF16))+(AF8*AF9)))</f>
        <v>4134.138640887763</v>
      </c>
      <c r="AG19" s="63" t="s">
        <v>34</v>
      </c>
      <c r="AH19" s="63"/>
      <c r="AI19" s="63"/>
      <c r="AJ19" s="63"/>
      <c r="AK19" s="72" t="s">
        <v>171</v>
      </c>
      <c r="AL19" s="78">
        <v>10</v>
      </c>
      <c r="AM19" s="78" t="s">
        <v>83</v>
      </c>
      <c r="AN19" s="72" t="s">
        <v>171</v>
      </c>
      <c r="AO19" s="78">
        <v>10</v>
      </c>
      <c r="AP19" s="78" t="s">
        <v>83</v>
      </c>
      <c r="AQ19" s="72" t="s">
        <v>171</v>
      </c>
      <c r="AR19" s="78">
        <v>10</v>
      </c>
      <c r="AS19" s="78" t="s">
        <v>83</v>
      </c>
      <c r="AT19" s="17" t="s">
        <v>36</v>
      </c>
      <c r="AU19" s="25">
        <f>(AU21*AU22*AU23)/((1-EXP(-AU23*AU22))*AU25*AU30*(AU24/365)*AU28*((AU29)+(AU31*AU26)))</f>
        <v>12348.658171003854</v>
      </c>
      <c r="AV19" s="26" t="s">
        <v>34</v>
      </c>
      <c r="AW19" s="17" t="s">
        <v>36</v>
      </c>
      <c r="AX19" s="25">
        <f>(AX21*AX22*AX23)/((1-EXP(-AX23*AX22))*AX25*AX30*(AX24/365)*AX28*((AX29)+(AX31*AX26)))</f>
        <v>5.430914909478851</v>
      </c>
      <c r="AY19" s="26" t="s">
        <v>34</v>
      </c>
      <c r="AZ19" s="5" t="s">
        <v>36</v>
      </c>
      <c r="BA19" s="27">
        <f>(BA21*BA22*BA23)/(BA25*(1-EXP(-BA23*BA22))*BA30*(BA24/365)*BA28*BA29/24*BA27)</f>
        <v>49704.53937040339</v>
      </c>
      <c r="BB19" s="27" t="s">
        <v>34</v>
      </c>
      <c r="BC19" s="5" t="s">
        <v>36</v>
      </c>
      <c r="BD19" s="27">
        <f>(BD21*BD22*BD23)/(BD25*(1-EXP(-BD23*BD22))*BD30*(BD24/365)*BD28*BD29/24*BD27)</f>
        <v>21.885212998294964</v>
      </c>
      <c r="BE19" s="27" t="s">
        <v>34</v>
      </c>
      <c r="BF19" s="18" t="s">
        <v>36</v>
      </c>
      <c r="BG19" s="51">
        <f>(BG21*BG22*BG23)/((1-EXP(-BG23*BG22))*BG25*BG30*(BG24/365)*BG28*(BG31/24)*BG26)</f>
        <v>53652.86756557444</v>
      </c>
      <c r="BH19" s="28" t="s">
        <v>34</v>
      </c>
      <c r="BI19" s="18" t="s">
        <v>36</v>
      </c>
      <c r="BJ19" s="51">
        <f>(BJ21*BJ22*BJ23)/((1-EXP(-BJ23*BJ22))*BJ25*BJ30*(BJ24/365)*BJ28*(BJ31/24)*BJ26)</f>
        <v>23.623686076066708</v>
      </c>
      <c r="BK19" s="28" t="s">
        <v>34</v>
      </c>
      <c r="BL19" s="19" t="s">
        <v>36</v>
      </c>
      <c r="BM19" s="52">
        <f>(BM21*BM22*BM23)/((1-EXP(-BM23*BM22))*BM25*BM30*(BM24/365)*BM28*(BM31/24)*BM27)</f>
        <v>23845.71891803308</v>
      </c>
      <c r="BN19" s="29" t="s">
        <v>34</v>
      </c>
      <c r="BO19" s="19" t="s">
        <v>36</v>
      </c>
      <c r="BP19" s="52">
        <f>(BP21*BP22*BP23)/((1-EXP(-BP23*BP22))*BP25*BP30*(BP24/365)*BP28*(BP31/24)*BP27)</f>
        <v>10.499416033807423</v>
      </c>
      <c r="BQ19" s="29" t="s">
        <v>34</v>
      </c>
      <c r="BR19" s="20"/>
      <c r="BS19" s="53">
        <f>(BS21*BS22*BS23)/((1-EXP(-BS23*BS22))*BS25*BS30*(BS24/365)*BS28*(BS31/24)*BS27)</f>
        <v>21461.147026229777</v>
      </c>
      <c r="BT19" s="30" t="s">
        <v>34</v>
      </c>
      <c r="BU19" s="20"/>
      <c r="BV19" s="53">
        <f>(BV21*BV22*BV23)/((1-EXP(-BV23*BV22))*BV25*BV30*(BV24/365)*BV28*(BV31/24)*BV27)</f>
        <v>9.449474430426683</v>
      </c>
      <c r="BW19" s="30" t="s">
        <v>34</v>
      </c>
      <c r="BX19" s="79">
        <f>(BY21*BY28*BY33*BY27*10^-3*BY26*BY23)/(BY25*BY36*(1-EXP(-BY23*BY26)))</f>
        <v>1.245996569752307</v>
      </c>
      <c r="BY19" s="55" t="s">
        <v>34</v>
      </c>
      <c r="BZ19" s="21" t="s">
        <v>37</v>
      </c>
    </row>
    <row r="20" spans="1:78" ht="12.75">
      <c r="A20" t="s">
        <v>149</v>
      </c>
      <c r="B20" s="57">
        <f>(B5)/((B13/B14)*B7*B8*B17*(1/365)*B18)</f>
        <v>595.2380952380952</v>
      </c>
      <c r="C20" t="s">
        <v>33</v>
      </c>
      <c r="D20" s="2" t="s">
        <v>2</v>
      </c>
      <c r="E20" s="2" t="s">
        <v>5</v>
      </c>
      <c r="F20" s="2" t="s">
        <v>1</v>
      </c>
      <c r="G20" t="s">
        <v>172</v>
      </c>
      <c r="H20">
        <v>1</v>
      </c>
      <c r="I20" t="s">
        <v>173</v>
      </c>
      <c r="M20" s="58" t="s">
        <v>108</v>
      </c>
      <c r="N20" s="75">
        <v>20</v>
      </c>
      <c r="O20" s="75" t="s">
        <v>83</v>
      </c>
      <c r="P20" s="75"/>
      <c r="Q20" s="75"/>
      <c r="R20" s="75"/>
      <c r="S20" s="63" t="s">
        <v>46</v>
      </c>
      <c r="T20" s="80">
        <f>N35</f>
        <v>0.0016</v>
      </c>
      <c r="V20" s="63" t="s">
        <v>46</v>
      </c>
      <c r="W20" s="63">
        <v>0.0016</v>
      </c>
      <c r="Y20" s="63" t="s">
        <v>46</v>
      </c>
      <c r="Z20" s="63">
        <v>0.0016</v>
      </c>
      <c r="AK20" s="72" t="s">
        <v>174</v>
      </c>
      <c r="AL20" s="78">
        <v>20</v>
      </c>
      <c r="AM20" s="78" t="s">
        <v>83</v>
      </c>
      <c r="AN20" s="72" t="s">
        <v>174</v>
      </c>
      <c r="AO20" s="78">
        <v>20</v>
      </c>
      <c r="AP20" s="78" t="s">
        <v>83</v>
      </c>
      <c r="AQ20" s="72" t="s">
        <v>174</v>
      </c>
      <c r="AR20" s="78">
        <v>20</v>
      </c>
      <c r="AS20" s="78" t="s">
        <v>83</v>
      </c>
      <c r="AT20" s="17" t="s">
        <v>41</v>
      </c>
      <c r="AU20" s="25"/>
      <c r="AV20" s="26"/>
      <c r="AW20" s="17" t="s">
        <v>41</v>
      </c>
      <c r="AX20" s="25"/>
      <c r="AY20" s="26"/>
      <c r="AZ20" s="5" t="s">
        <v>41</v>
      </c>
      <c r="BA20" s="27"/>
      <c r="BB20" s="27"/>
      <c r="BC20" s="5" t="s">
        <v>41</v>
      </c>
      <c r="BD20" s="27"/>
      <c r="BE20" s="27"/>
      <c r="BF20" s="18" t="s">
        <v>41</v>
      </c>
      <c r="BG20" s="51"/>
      <c r="BH20" s="28"/>
      <c r="BI20" s="18" t="s">
        <v>41</v>
      </c>
      <c r="BJ20" s="51"/>
      <c r="BK20" s="28"/>
      <c r="BL20" s="19" t="s">
        <v>41</v>
      </c>
      <c r="BM20" s="52"/>
      <c r="BN20" s="29"/>
      <c r="BO20" s="19" t="s">
        <v>41</v>
      </c>
      <c r="BP20" s="52"/>
      <c r="BQ20" s="29"/>
      <c r="BR20" s="20" t="s">
        <v>41</v>
      </c>
      <c r="BS20" s="56"/>
      <c r="BT20" s="30"/>
      <c r="BU20" s="20" t="s">
        <v>41</v>
      </c>
      <c r="BV20" s="56"/>
      <c r="BW20" s="30"/>
      <c r="BX20" s="79">
        <f>(BY22*BY28*BY33*BY27*10^-3*BY26*BY23)/(BY25*BY36*(1-EXP(-BY23*BY26)))</f>
        <v>0.03615301319856066</v>
      </c>
      <c r="BY20" s="55" t="s">
        <v>34</v>
      </c>
      <c r="BZ20" s="21" t="s">
        <v>42</v>
      </c>
    </row>
    <row r="21" spans="1:78" ht="12.75">
      <c r="A21" t="s">
        <v>140</v>
      </c>
      <c r="B21" s="57">
        <f>(B5*B8*B6)/((B13/B14)*B7*B8*(1-EXP(-B6*B8))*B9*B10)</f>
        <v>0.00019284716199280803</v>
      </c>
      <c r="C21" t="s">
        <v>35</v>
      </c>
      <c r="D21" s="2" t="s">
        <v>16</v>
      </c>
      <c r="E21" s="2" t="s">
        <v>14</v>
      </c>
      <c r="F21" s="2" t="s">
        <v>17</v>
      </c>
      <c r="G21" t="s">
        <v>175</v>
      </c>
      <c r="H21">
        <v>0.58</v>
      </c>
      <c r="I21" t="s">
        <v>173</v>
      </c>
      <c r="M21" s="58" t="s">
        <v>113</v>
      </c>
      <c r="N21" s="75">
        <v>0.4</v>
      </c>
      <c r="O21" s="75"/>
      <c r="P21" s="75"/>
      <c r="Q21" s="75"/>
      <c r="R21" s="75"/>
      <c r="T21" s="63">
        <v>365</v>
      </c>
      <c r="U21" t="s">
        <v>176</v>
      </c>
      <c r="W21" s="63">
        <v>365</v>
      </c>
      <c r="X21" t="s">
        <v>176</v>
      </c>
      <c r="Z21" s="63">
        <v>365</v>
      </c>
      <c r="AA21" t="s">
        <v>176</v>
      </c>
      <c r="AK21" s="72" t="s">
        <v>177</v>
      </c>
      <c r="AL21" s="78">
        <v>0.4</v>
      </c>
      <c r="AM21" s="78"/>
      <c r="AN21" s="72" t="s">
        <v>177</v>
      </c>
      <c r="AO21" s="78">
        <v>0.4</v>
      </c>
      <c r="AP21" s="78"/>
      <c r="AQ21" s="72" t="s">
        <v>177</v>
      </c>
      <c r="AR21" s="78">
        <v>0.4</v>
      </c>
      <c r="AS21" s="78"/>
      <c r="AT21" t="s">
        <v>43</v>
      </c>
      <c r="AU21" s="57">
        <v>1E-06</v>
      </c>
      <c r="AW21" t="s">
        <v>43</v>
      </c>
      <c r="AX21" s="57">
        <v>1E-06</v>
      </c>
      <c r="AZ21" t="s">
        <v>43</v>
      </c>
      <c r="BA21" s="57">
        <v>1E-06</v>
      </c>
      <c r="BC21" t="s">
        <v>43</v>
      </c>
      <c r="BD21" s="57">
        <v>1E-06</v>
      </c>
      <c r="BF21" t="s">
        <v>43</v>
      </c>
      <c r="BG21" s="57">
        <v>1E-06</v>
      </c>
      <c r="BI21" t="s">
        <v>43</v>
      </c>
      <c r="BJ21" s="57">
        <v>1E-06</v>
      </c>
      <c r="BL21" t="s">
        <v>43</v>
      </c>
      <c r="BM21" s="57">
        <v>1E-06</v>
      </c>
      <c r="BO21" t="s">
        <v>43</v>
      </c>
      <c r="BP21" s="57">
        <v>1E-06</v>
      </c>
      <c r="BR21" t="s">
        <v>43</v>
      </c>
      <c r="BS21" s="57">
        <v>1E-06</v>
      </c>
      <c r="BU21" t="s">
        <v>43</v>
      </c>
      <c r="BV21" s="57">
        <v>1E-06</v>
      </c>
      <c r="BX21" s="60" t="s">
        <v>45</v>
      </c>
      <c r="BY21" s="68">
        <v>15</v>
      </c>
      <c r="BZ21" s="62" t="s">
        <v>19</v>
      </c>
    </row>
    <row r="22" spans="1:78" ht="12.75">
      <c r="A22" t="s">
        <v>149</v>
      </c>
      <c r="B22" s="57">
        <f>(B5*B8*B6)/((B13/B14)*B7*B8*(1-EXP(-B6*B8))*B17*(1/365)*B18)</f>
        <v>609.6380908497645</v>
      </c>
      <c r="C22" t="s">
        <v>35</v>
      </c>
      <c r="D22" s="2" t="s">
        <v>35</v>
      </c>
      <c r="E22" s="33">
        <f>1/((1/E36)+(1/E37))</f>
        <v>0.00029042939016885863</v>
      </c>
      <c r="F22" s="34" t="s">
        <v>34</v>
      </c>
      <c r="G22" s="58" t="str">
        <f>A13</f>
        <v>ET ra</v>
      </c>
      <c r="H22" s="63">
        <f>B13</f>
        <v>24</v>
      </c>
      <c r="I22" s="63" t="str">
        <f>C13</f>
        <v>hrs/day</v>
      </c>
      <c r="J22" s="63"/>
      <c r="K22" s="63"/>
      <c r="L22" s="63"/>
      <c r="M22" s="58" t="s">
        <v>112</v>
      </c>
      <c r="N22" s="75">
        <v>0.965</v>
      </c>
      <c r="O22" s="75"/>
      <c r="P22" s="75"/>
      <c r="Q22" s="75"/>
      <c r="R22" s="75"/>
      <c r="S22" s="74" t="s">
        <v>35</v>
      </c>
      <c r="T22" s="65">
        <f>(T19*T20)/(1-EXP(-T20*T19))</f>
        <v>1.0201333297779125</v>
      </c>
      <c r="V22" s="74" t="s">
        <v>35</v>
      </c>
      <c r="W22" s="65">
        <f>(W19*W20)/(1-EXP(-W20*W19))</f>
        <v>1.0201333297779125</v>
      </c>
      <c r="Y22" s="74" t="s">
        <v>35</v>
      </c>
      <c r="Z22" s="65">
        <f>(Z19*Z20)/(1-EXP(-Z20*Z19))</f>
        <v>1.0201333297779125</v>
      </c>
      <c r="AK22" s="72" t="s">
        <v>112</v>
      </c>
      <c r="AL22" s="78">
        <v>0.965</v>
      </c>
      <c r="AM22" s="78"/>
      <c r="AN22" s="72" t="s">
        <v>112</v>
      </c>
      <c r="AO22" s="78">
        <v>0.965</v>
      </c>
      <c r="AP22" s="78"/>
      <c r="AQ22" s="72" t="s">
        <v>112</v>
      </c>
      <c r="AR22" s="78">
        <v>0.965</v>
      </c>
      <c r="AS22" s="78"/>
      <c r="AT22" t="s">
        <v>52</v>
      </c>
      <c r="AU22">
        <v>30</v>
      </c>
      <c r="AV22" t="s">
        <v>53</v>
      </c>
      <c r="AW22" t="s">
        <v>52</v>
      </c>
      <c r="AX22">
        <v>30</v>
      </c>
      <c r="AY22" t="s">
        <v>53</v>
      </c>
      <c r="AZ22" t="s">
        <v>52</v>
      </c>
      <c r="BA22">
        <v>30</v>
      </c>
      <c r="BB22" t="s">
        <v>53</v>
      </c>
      <c r="BC22" t="s">
        <v>52</v>
      </c>
      <c r="BD22">
        <v>30</v>
      </c>
      <c r="BE22" t="s">
        <v>53</v>
      </c>
      <c r="BF22" t="s">
        <v>52</v>
      </c>
      <c r="BG22">
        <v>25</v>
      </c>
      <c r="BH22" t="s">
        <v>53</v>
      </c>
      <c r="BI22" t="s">
        <v>52</v>
      </c>
      <c r="BJ22">
        <v>25</v>
      </c>
      <c r="BK22" t="s">
        <v>53</v>
      </c>
      <c r="BL22" t="s">
        <v>52</v>
      </c>
      <c r="BM22">
        <v>25</v>
      </c>
      <c r="BN22" t="s">
        <v>53</v>
      </c>
      <c r="BO22" t="s">
        <v>52</v>
      </c>
      <c r="BP22">
        <v>25</v>
      </c>
      <c r="BQ22" t="s">
        <v>53</v>
      </c>
      <c r="BR22" t="s">
        <v>52</v>
      </c>
      <c r="BS22">
        <v>25</v>
      </c>
      <c r="BT22" t="s">
        <v>53</v>
      </c>
      <c r="BU22" t="s">
        <v>52</v>
      </c>
      <c r="BV22">
        <v>25</v>
      </c>
      <c r="BW22" t="s">
        <v>53</v>
      </c>
      <c r="BX22" s="61" t="s">
        <v>14</v>
      </c>
      <c r="BY22" s="68">
        <f>H3</f>
        <v>0.43523008902521554</v>
      </c>
      <c r="BZ22" s="62" t="s">
        <v>19</v>
      </c>
    </row>
    <row r="23" spans="4:78" ht="12.75">
      <c r="D23" s="2" t="s">
        <v>33</v>
      </c>
      <c r="E23" s="33">
        <f>1/((1/E34)+(1/E35))</f>
        <v>0.00028469748187924255</v>
      </c>
      <c r="F23" s="34" t="s">
        <v>34</v>
      </c>
      <c r="H23" s="63"/>
      <c r="M23" s="58" t="s">
        <v>90</v>
      </c>
      <c r="N23" s="57">
        <v>2.7600000000000002E-08</v>
      </c>
      <c r="O23" s="58" t="s">
        <v>134</v>
      </c>
      <c r="P23" s="58"/>
      <c r="Q23" s="58"/>
      <c r="R23" s="58"/>
      <c r="T23">
        <v>1000</v>
      </c>
      <c r="U23" t="s">
        <v>178</v>
      </c>
      <c r="W23">
        <v>1000</v>
      </c>
      <c r="X23" t="s">
        <v>178</v>
      </c>
      <c r="Z23">
        <v>1000</v>
      </c>
      <c r="AA23" t="s">
        <v>178</v>
      </c>
      <c r="AK23" s="72" t="s">
        <v>137</v>
      </c>
      <c r="AL23" s="71">
        <f>Z14</f>
        <v>2.7600000000000002E-08</v>
      </c>
      <c r="AM23" s="72" t="s">
        <v>179</v>
      </c>
      <c r="AN23" s="72" t="s">
        <v>137</v>
      </c>
      <c r="AO23" s="71">
        <f>AL14</f>
        <v>15</v>
      </c>
      <c r="AP23" s="72" t="s">
        <v>179</v>
      </c>
      <c r="AQ23" s="72" t="s">
        <v>137</v>
      </c>
      <c r="AR23" s="71">
        <f>AO14</f>
        <v>15</v>
      </c>
      <c r="AS23" s="72" t="s">
        <v>179</v>
      </c>
      <c r="AT23" t="s">
        <v>46</v>
      </c>
      <c r="AU23" s="70">
        <f>AU7</f>
        <v>0.0016</v>
      </c>
      <c r="AW23" t="s">
        <v>46</v>
      </c>
      <c r="AX23" s="70">
        <f>AU7</f>
        <v>0.0016</v>
      </c>
      <c r="AZ23" t="s">
        <v>46</v>
      </c>
      <c r="BA23" s="70">
        <f>AX23</f>
        <v>0.0016</v>
      </c>
      <c r="BC23" t="s">
        <v>46</v>
      </c>
      <c r="BD23" s="70">
        <f>BA23</f>
        <v>0.0016</v>
      </c>
      <c r="BF23" t="s">
        <v>46</v>
      </c>
      <c r="BG23" s="70">
        <f>AX23</f>
        <v>0.0016</v>
      </c>
      <c r="BI23" t="s">
        <v>46</v>
      </c>
      <c r="BJ23" s="70">
        <f>BG23</f>
        <v>0.0016</v>
      </c>
      <c r="BL23" t="s">
        <v>46</v>
      </c>
      <c r="BM23" s="70">
        <f>BJ23</f>
        <v>0.0016</v>
      </c>
      <c r="BO23" t="s">
        <v>46</v>
      </c>
      <c r="BP23" s="70">
        <v>0.0016</v>
      </c>
      <c r="BR23" s="61" t="s">
        <v>46</v>
      </c>
      <c r="BS23" s="68">
        <v>0.0016</v>
      </c>
      <c r="BT23" s="61"/>
      <c r="BU23" s="61" t="s">
        <v>46</v>
      </c>
      <c r="BV23" s="68">
        <v>0.0016</v>
      </c>
      <c r="BW23" s="61"/>
      <c r="BX23" s="61" t="s">
        <v>46</v>
      </c>
      <c r="BY23" s="68">
        <v>0.0016</v>
      </c>
      <c r="BZ23" s="61"/>
    </row>
    <row r="24" spans="1:78" ht="12.75">
      <c r="A24" s="5" t="s">
        <v>0</v>
      </c>
      <c r="B24" s="5"/>
      <c r="C24" s="5" t="s">
        <v>1</v>
      </c>
      <c r="D24" t="s">
        <v>43</v>
      </c>
      <c r="E24" s="57">
        <v>1E-06</v>
      </c>
      <c r="G24" t="s">
        <v>180</v>
      </c>
      <c r="H24" s="65">
        <f>B7</f>
        <v>350</v>
      </c>
      <c r="I24" t="str">
        <f>C7</f>
        <v>day/yr</v>
      </c>
      <c r="M24" s="58" t="s">
        <v>143</v>
      </c>
      <c r="N24" s="57">
        <v>1360000000</v>
      </c>
      <c r="O24" s="58" t="s">
        <v>144</v>
      </c>
      <c r="P24" s="58" t="s">
        <v>143</v>
      </c>
      <c r="Q24" s="57">
        <v>1360000000</v>
      </c>
      <c r="R24" s="58" t="s">
        <v>144</v>
      </c>
      <c r="AK24" s="72" t="s">
        <v>143</v>
      </c>
      <c r="AL24" s="71">
        <v>1360000000</v>
      </c>
      <c r="AM24" s="72" t="s">
        <v>144</v>
      </c>
      <c r="AN24" s="72" t="s">
        <v>143</v>
      </c>
      <c r="AO24" s="71">
        <v>1360000000</v>
      </c>
      <c r="AP24" s="72" t="s">
        <v>144</v>
      </c>
      <c r="AQ24" s="72" t="s">
        <v>143</v>
      </c>
      <c r="AR24" s="71">
        <v>1360000000</v>
      </c>
      <c r="AS24" s="72" t="s">
        <v>144</v>
      </c>
      <c r="AT24" t="s">
        <v>47</v>
      </c>
      <c r="AU24">
        <v>350</v>
      </c>
      <c r="AV24" t="s">
        <v>54</v>
      </c>
      <c r="AW24" t="s">
        <v>47</v>
      </c>
      <c r="AX24">
        <v>350</v>
      </c>
      <c r="AY24" t="s">
        <v>54</v>
      </c>
      <c r="AZ24" t="s">
        <v>47</v>
      </c>
      <c r="BA24">
        <v>350</v>
      </c>
      <c r="BB24" t="s">
        <v>54</v>
      </c>
      <c r="BC24" t="s">
        <v>47</v>
      </c>
      <c r="BD24">
        <v>350</v>
      </c>
      <c r="BE24" t="s">
        <v>54</v>
      </c>
      <c r="BF24" t="s">
        <v>47</v>
      </c>
      <c r="BG24">
        <v>250</v>
      </c>
      <c r="BH24" t="s">
        <v>54</v>
      </c>
      <c r="BI24" t="s">
        <v>47</v>
      </c>
      <c r="BJ24">
        <v>250</v>
      </c>
      <c r="BK24" t="s">
        <v>54</v>
      </c>
      <c r="BL24" t="s">
        <v>47</v>
      </c>
      <c r="BM24">
        <v>225</v>
      </c>
      <c r="BN24" t="s">
        <v>54</v>
      </c>
      <c r="BO24" t="s">
        <v>47</v>
      </c>
      <c r="BP24">
        <v>225</v>
      </c>
      <c r="BQ24" t="s">
        <v>54</v>
      </c>
      <c r="BR24" s="61" t="s">
        <v>47</v>
      </c>
      <c r="BS24" s="61">
        <v>250</v>
      </c>
      <c r="BT24" s="61" t="s">
        <v>54</v>
      </c>
      <c r="BU24" s="61" t="s">
        <v>47</v>
      </c>
      <c r="BV24" s="61">
        <v>250</v>
      </c>
      <c r="BW24" s="61" t="s">
        <v>54</v>
      </c>
      <c r="BX24" s="61" t="s">
        <v>181</v>
      </c>
      <c r="BY24" s="61">
        <v>0.30000000000000004</v>
      </c>
      <c r="BZ24" s="61"/>
    </row>
    <row r="25" spans="1:78" ht="12.75">
      <c r="A25" s="5" t="s">
        <v>182</v>
      </c>
      <c r="B25" s="5" t="s">
        <v>14</v>
      </c>
      <c r="C25" s="5" t="s">
        <v>22</v>
      </c>
      <c r="D25" s="58" t="s">
        <v>46</v>
      </c>
      <c r="E25" s="57">
        <f>B6</f>
        <v>0.0016</v>
      </c>
      <c r="G25" t="s">
        <v>57</v>
      </c>
      <c r="H25" s="57">
        <v>1.3300000000000001E-13</v>
      </c>
      <c r="I25" t="s">
        <v>183</v>
      </c>
      <c r="M25" s="58" t="s">
        <v>74</v>
      </c>
      <c r="N25" s="70">
        <v>2.81E-08</v>
      </c>
      <c r="O25" s="74" t="s">
        <v>56</v>
      </c>
      <c r="P25" s="74"/>
      <c r="Q25" s="74"/>
      <c r="R25" s="74"/>
      <c r="S25" s="58" t="s">
        <v>184</v>
      </c>
      <c r="T25" s="57">
        <f>(T5/(T8*T10*T7*T9*(1/T6)))*T22</f>
        <v>35.872820387794725</v>
      </c>
      <c r="U25" s="58"/>
      <c r="V25" s="58" t="s">
        <v>184</v>
      </c>
      <c r="W25" s="57">
        <f>(W5/(W8*W10*W7*W9*(1/W6)))*W22</f>
        <v>19.929344659885956</v>
      </c>
      <c r="X25" s="58"/>
      <c r="Y25" s="58" t="s">
        <v>184</v>
      </c>
      <c r="Z25" s="57">
        <f>(Z5/(Z8*Z10*Z7*Z9*(1/Z6)))*Z22</f>
        <v>17.936410193897363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72" t="s">
        <v>185</v>
      </c>
      <c r="AL25" s="81">
        <f>Z16</f>
        <v>2.81E-08</v>
      </c>
      <c r="AM25" s="77" t="s">
        <v>186</v>
      </c>
      <c r="AN25" s="72" t="s">
        <v>185</v>
      </c>
      <c r="AO25" s="81">
        <f>AL16</f>
        <v>100</v>
      </c>
      <c r="AP25" s="77" t="s">
        <v>186</v>
      </c>
      <c r="AQ25" s="72" t="s">
        <v>185</v>
      </c>
      <c r="AR25" s="81">
        <f>AO16</f>
        <v>100</v>
      </c>
      <c r="AS25" s="77" t="s">
        <v>186</v>
      </c>
      <c r="AT25" t="s">
        <v>50</v>
      </c>
      <c r="AU25">
        <v>30</v>
      </c>
      <c r="AV25" t="s">
        <v>53</v>
      </c>
      <c r="AW25" t="s">
        <v>50</v>
      </c>
      <c r="AX25">
        <v>30</v>
      </c>
      <c r="AY25" t="s">
        <v>53</v>
      </c>
      <c r="AZ25" t="s">
        <v>50</v>
      </c>
      <c r="BA25">
        <v>30</v>
      </c>
      <c r="BB25" t="s">
        <v>53</v>
      </c>
      <c r="BC25" t="s">
        <v>50</v>
      </c>
      <c r="BD25">
        <v>30</v>
      </c>
      <c r="BE25" t="s">
        <v>53</v>
      </c>
      <c r="BF25" t="s">
        <v>50</v>
      </c>
      <c r="BG25">
        <v>25</v>
      </c>
      <c r="BH25" t="s">
        <v>53</v>
      </c>
      <c r="BI25" t="s">
        <v>50</v>
      </c>
      <c r="BJ25">
        <v>25</v>
      </c>
      <c r="BK25" t="s">
        <v>53</v>
      </c>
      <c r="BL25" t="s">
        <v>50</v>
      </c>
      <c r="BM25">
        <v>25</v>
      </c>
      <c r="BN25" t="s">
        <v>53</v>
      </c>
      <c r="BO25" t="s">
        <v>50</v>
      </c>
      <c r="BP25">
        <v>25</v>
      </c>
      <c r="BQ25" t="s">
        <v>53</v>
      </c>
      <c r="BR25" t="s">
        <v>50</v>
      </c>
      <c r="BS25">
        <v>25</v>
      </c>
      <c r="BT25" t="s">
        <v>53</v>
      </c>
      <c r="BU25" t="s">
        <v>50</v>
      </c>
      <c r="BV25">
        <v>25</v>
      </c>
      <c r="BW25" t="s">
        <v>53</v>
      </c>
      <c r="BX25" s="61" t="s">
        <v>187</v>
      </c>
      <c r="BY25" s="68">
        <v>1.5</v>
      </c>
      <c r="BZ25" s="61"/>
    </row>
    <row r="26" spans="1:78" ht="12.75">
      <c r="A26" s="5" t="s">
        <v>182</v>
      </c>
      <c r="B26" s="39">
        <f>B33</f>
        <v>0.013161704703993261</v>
      </c>
      <c r="C26" s="27" t="s">
        <v>34</v>
      </c>
      <c r="D26" t="s">
        <v>47</v>
      </c>
      <c r="E26">
        <v>250</v>
      </c>
      <c r="F26" t="s">
        <v>54</v>
      </c>
      <c r="G26" t="s">
        <v>188</v>
      </c>
      <c r="H26" s="82">
        <f>(H27*H29*H9+H28*H29*H22)/H11</f>
        <v>0.6639999999999999</v>
      </c>
      <c r="I26" t="s">
        <v>129</v>
      </c>
      <c r="M26" s="58" t="s">
        <v>127</v>
      </c>
      <c r="N26" s="57">
        <v>0.073</v>
      </c>
      <c r="O26" s="74"/>
      <c r="P26" s="74"/>
      <c r="Q26" s="74"/>
      <c r="R26" s="74"/>
      <c r="S26" s="58" t="s">
        <v>140</v>
      </c>
      <c r="T26" s="57">
        <f>(T5/(T16*T11*T7*T9*(1/T15)*T17*T18*T23))*T22</f>
        <v>394.98400811329856</v>
      </c>
      <c r="U26" s="58"/>
      <c r="V26" s="58" t="s">
        <v>140</v>
      </c>
      <c r="W26" s="57">
        <f>(W5/(W16*W11*W7*W9*(1/W15)*W17*W18*W23))*W22</f>
        <v>438.8711201258872</v>
      </c>
      <c r="X26" s="58"/>
      <c r="Y26" s="58" t="s">
        <v>140</v>
      </c>
      <c r="Z26" s="57">
        <f>(Z5/(Z16*Z11*Z7*Z9*(1/Z15)*Z17*Z18*Z23))*Z22</f>
        <v>394.98400811329856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72" t="s">
        <v>189</v>
      </c>
      <c r="AL26" s="71">
        <v>0.001</v>
      </c>
      <c r="AM26" s="77"/>
      <c r="AN26" s="72"/>
      <c r="AO26" s="59"/>
      <c r="AP26" s="77"/>
      <c r="AQ26" s="72" t="s">
        <v>189</v>
      </c>
      <c r="AR26" s="71">
        <v>0.001</v>
      </c>
      <c r="AS26" s="77"/>
      <c r="AT26" t="s">
        <v>98</v>
      </c>
      <c r="AU26">
        <v>0.4</v>
      </c>
      <c r="AW26" t="s">
        <v>98</v>
      </c>
      <c r="AX26">
        <v>0.4</v>
      </c>
      <c r="AZ26" t="s">
        <v>98</v>
      </c>
      <c r="BA26">
        <v>0.4</v>
      </c>
      <c r="BC26" t="s">
        <v>98</v>
      </c>
      <c r="BD26">
        <v>0.4</v>
      </c>
      <c r="BF26" t="s">
        <v>98</v>
      </c>
      <c r="BG26">
        <v>0.4</v>
      </c>
      <c r="BI26" t="s">
        <v>98</v>
      </c>
      <c r="BJ26">
        <v>0.4</v>
      </c>
      <c r="BL26" t="s">
        <v>98</v>
      </c>
      <c r="BM26">
        <v>0.4</v>
      </c>
      <c r="BO26" t="s">
        <v>98</v>
      </c>
      <c r="BP26">
        <v>0.4</v>
      </c>
      <c r="BR26" s="61"/>
      <c r="BS26" s="61"/>
      <c r="BT26" s="61"/>
      <c r="BU26" s="61"/>
      <c r="BV26" s="61"/>
      <c r="BW26" s="61"/>
      <c r="BX26" s="61" t="s">
        <v>52</v>
      </c>
      <c r="BY26" s="61">
        <v>30</v>
      </c>
      <c r="BZ26" s="61"/>
    </row>
    <row r="27" spans="1:78" ht="12.75">
      <c r="A27" s="5"/>
      <c r="B27" s="39" t="s">
        <v>29</v>
      </c>
      <c r="C27" s="27"/>
      <c r="D27" t="s">
        <v>50</v>
      </c>
      <c r="E27">
        <v>25</v>
      </c>
      <c r="F27" t="s">
        <v>53</v>
      </c>
      <c r="G27" t="s">
        <v>190</v>
      </c>
      <c r="H27">
        <v>1</v>
      </c>
      <c r="I27" t="s">
        <v>191</v>
      </c>
      <c r="M27" s="58" t="s">
        <v>147</v>
      </c>
      <c r="N27" s="70">
        <v>0.684</v>
      </c>
      <c r="O27" s="74"/>
      <c r="P27" s="74"/>
      <c r="Q27" s="74"/>
      <c r="R27" s="74"/>
      <c r="S27" s="58" t="s">
        <v>192</v>
      </c>
      <c r="T27" s="57">
        <f>(T5/(T14*T13*T17*T18*T12*T7*(1/T21)*T9))*T22</f>
        <v>16.77624083662708</v>
      </c>
      <c r="U27" s="58"/>
      <c r="V27" s="58" t="s">
        <v>192</v>
      </c>
      <c r="W27" s="57">
        <f>(W5/(W14*W13*W17*W18*W12*W7*(1/W21)*W9))*W22</f>
        <v>7.456107038500924</v>
      </c>
      <c r="X27" s="58"/>
      <c r="Y27" s="58" t="s">
        <v>192</v>
      </c>
      <c r="Z27" s="57">
        <f>(Z5/(Z14*Z13*Z17*Z18*Z12*Z7*(1/Z21)*Z9))*Z22</f>
        <v>6.7104963346508315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72" t="s">
        <v>145</v>
      </c>
      <c r="AL27" s="81">
        <v>0.005</v>
      </c>
      <c r="AM27" s="77"/>
      <c r="AN27" s="72"/>
      <c r="AO27" s="81"/>
      <c r="AP27" s="77"/>
      <c r="AQ27" s="72" t="s">
        <v>145</v>
      </c>
      <c r="AR27" s="81">
        <v>0.005</v>
      </c>
      <c r="AS27" s="77"/>
      <c r="AT27" t="s">
        <v>106</v>
      </c>
      <c r="AU27">
        <v>1</v>
      </c>
      <c r="AW27" t="s">
        <v>106</v>
      </c>
      <c r="AX27">
        <v>1</v>
      </c>
      <c r="AZ27" t="s">
        <v>106</v>
      </c>
      <c r="BA27">
        <v>1</v>
      </c>
      <c r="BC27" t="s">
        <v>106</v>
      </c>
      <c r="BD27">
        <v>1</v>
      </c>
      <c r="BF27" t="s">
        <v>106</v>
      </c>
      <c r="BG27">
        <v>1</v>
      </c>
      <c r="BI27" t="s">
        <v>106</v>
      </c>
      <c r="BJ27">
        <v>1</v>
      </c>
      <c r="BL27" t="s">
        <v>106</v>
      </c>
      <c r="BM27">
        <v>1</v>
      </c>
      <c r="BO27" t="s">
        <v>106</v>
      </c>
      <c r="BP27">
        <v>1</v>
      </c>
      <c r="BR27" s="61" t="s">
        <v>106</v>
      </c>
      <c r="BS27" s="61">
        <v>1</v>
      </c>
      <c r="BT27" s="61"/>
      <c r="BU27" s="61" t="s">
        <v>106</v>
      </c>
      <c r="BV27" s="61">
        <v>1</v>
      </c>
      <c r="BW27" s="61"/>
      <c r="BX27" s="61" t="s">
        <v>193</v>
      </c>
      <c r="BY27" s="68">
        <v>70</v>
      </c>
      <c r="BZ27" s="61"/>
    </row>
    <row r="28" spans="1:78" ht="12.75">
      <c r="A28" s="58" t="s">
        <v>43</v>
      </c>
      <c r="B28" s="57">
        <v>1E-06</v>
      </c>
      <c r="D28" t="s">
        <v>74</v>
      </c>
      <c r="E28" s="70">
        <v>2.81E-08</v>
      </c>
      <c r="F28" s="74" t="s">
        <v>56</v>
      </c>
      <c r="G28" t="s">
        <v>194</v>
      </c>
      <c r="H28">
        <v>0.58</v>
      </c>
      <c r="I28" t="s">
        <v>191</v>
      </c>
      <c r="M28" s="58" t="s">
        <v>50</v>
      </c>
      <c r="N28" s="63">
        <v>30</v>
      </c>
      <c r="O28" s="74" t="s">
        <v>76</v>
      </c>
      <c r="P28" s="74"/>
      <c r="Q28" s="74"/>
      <c r="R28" s="74"/>
      <c r="S28" s="58"/>
      <c r="T28" s="63"/>
      <c r="U28" s="74"/>
      <c r="V28" s="58"/>
      <c r="W28" s="63"/>
      <c r="X28" s="74"/>
      <c r="Y28" s="58"/>
      <c r="Z28" s="6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2" t="s">
        <v>105</v>
      </c>
      <c r="AL28" s="73">
        <v>40</v>
      </c>
      <c r="AM28" s="77" t="s">
        <v>76</v>
      </c>
      <c r="AN28" s="72" t="s">
        <v>105</v>
      </c>
      <c r="AO28" s="73">
        <v>40</v>
      </c>
      <c r="AP28" s="77" t="s">
        <v>76</v>
      </c>
      <c r="AQ28" s="72" t="s">
        <v>105</v>
      </c>
      <c r="AR28" s="73">
        <v>40</v>
      </c>
      <c r="AS28" s="77" t="s">
        <v>76</v>
      </c>
      <c r="AT28" t="s">
        <v>112</v>
      </c>
      <c r="AU28" s="65">
        <f>AU12</f>
        <v>0.965</v>
      </c>
      <c r="AW28" t="s">
        <v>112</v>
      </c>
      <c r="AX28" s="65">
        <f>AU12</f>
        <v>0.965</v>
      </c>
      <c r="AZ28" t="s">
        <v>112</v>
      </c>
      <c r="BA28" s="65">
        <f>BA12</f>
        <v>0.249</v>
      </c>
      <c r="BC28" t="s">
        <v>112</v>
      </c>
      <c r="BD28" s="65">
        <f>BA12</f>
        <v>0.249</v>
      </c>
      <c r="BF28" t="s">
        <v>112</v>
      </c>
      <c r="BG28" s="65">
        <f>AU28</f>
        <v>0.965</v>
      </c>
      <c r="BI28" t="s">
        <v>112</v>
      </c>
      <c r="BJ28" s="65">
        <f>AX28</f>
        <v>0.965</v>
      </c>
      <c r="BL28" t="s">
        <v>112</v>
      </c>
      <c r="BM28" s="65">
        <f>BG28</f>
        <v>0.965</v>
      </c>
      <c r="BO28" t="s">
        <v>112</v>
      </c>
      <c r="BP28" s="65">
        <f>BJ28</f>
        <v>0.965</v>
      </c>
      <c r="BR28" s="61" t="s">
        <v>112</v>
      </c>
      <c r="BS28" s="61">
        <v>0.965</v>
      </c>
      <c r="BT28" s="61"/>
      <c r="BU28" s="61" t="s">
        <v>112</v>
      </c>
      <c r="BV28" s="61">
        <v>0.965</v>
      </c>
      <c r="BW28" s="61"/>
      <c r="BX28" s="61" t="s">
        <v>195</v>
      </c>
      <c r="BY28" s="68">
        <f>1+(BY30*BY31*BY32/BY33*BY34)</f>
        <v>1.7379506112711414</v>
      </c>
      <c r="BZ28" s="61"/>
    </row>
    <row r="29" spans="1:78" ht="12.75">
      <c r="A29" s="58" t="s">
        <v>47</v>
      </c>
      <c r="B29" s="63">
        <v>350</v>
      </c>
      <c r="C29" s="58" t="s">
        <v>48</v>
      </c>
      <c r="D29" t="s">
        <v>84</v>
      </c>
      <c r="E29" s="63">
        <v>8</v>
      </c>
      <c r="F29" s="74" t="s">
        <v>85</v>
      </c>
      <c r="G29" t="s">
        <v>196</v>
      </c>
      <c r="H29">
        <v>1</v>
      </c>
      <c r="I29" t="s">
        <v>151</v>
      </c>
      <c r="M29" s="58" t="s">
        <v>87</v>
      </c>
      <c r="N29" s="70">
        <v>24</v>
      </c>
      <c r="O29" s="74" t="s">
        <v>129</v>
      </c>
      <c r="P29" s="74"/>
      <c r="Q29" s="74"/>
      <c r="R29" s="74"/>
      <c r="S29" s="58"/>
      <c r="T29" s="70"/>
      <c r="U29" s="74"/>
      <c r="V29" s="58"/>
      <c r="W29" s="70"/>
      <c r="X29" s="74"/>
      <c r="Y29" s="58"/>
      <c r="Z29" s="70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2" t="s">
        <v>197</v>
      </c>
      <c r="AL29" s="81">
        <v>0.507</v>
      </c>
      <c r="AM29" s="77"/>
      <c r="AN29" s="72" t="s">
        <v>197</v>
      </c>
      <c r="AO29" s="81">
        <v>0.507</v>
      </c>
      <c r="AP29" s="77"/>
      <c r="AQ29" s="72" t="s">
        <v>197</v>
      </c>
      <c r="AR29" s="81">
        <v>0.507</v>
      </c>
      <c r="AS29" s="77"/>
      <c r="AT29" t="s">
        <v>127</v>
      </c>
      <c r="AU29">
        <v>0.073</v>
      </c>
      <c r="AV29" t="s">
        <v>128</v>
      </c>
      <c r="AW29" t="s">
        <v>127</v>
      </c>
      <c r="AX29">
        <v>0.073</v>
      </c>
      <c r="AY29" t="s">
        <v>128</v>
      </c>
      <c r="AZ29" t="s">
        <v>87</v>
      </c>
      <c r="BA29">
        <v>8</v>
      </c>
      <c r="BB29" t="s">
        <v>128</v>
      </c>
      <c r="BC29" t="s">
        <v>87</v>
      </c>
      <c r="BD29">
        <v>8</v>
      </c>
      <c r="BE29" t="s">
        <v>128</v>
      </c>
      <c r="BF29" t="s">
        <v>127</v>
      </c>
      <c r="BG29">
        <v>0</v>
      </c>
      <c r="BH29" t="s">
        <v>128</v>
      </c>
      <c r="BI29" t="s">
        <v>127</v>
      </c>
      <c r="BJ29">
        <v>0</v>
      </c>
      <c r="BK29" t="s">
        <v>128</v>
      </c>
      <c r="BL29" t="s">
        <v>127</v>
      </c>
      <c r="BM29">
        <v>0.33</v>
      </c>
      <c r="BN29" t="s">
        <v>128</v>
      </c>
      <c r="BO29" t="s">
        <v>87</v>
      </c>
      <c r="BP29">
        <v>0.33</v>
      </c>
      <c r="BQ29" t="s">
        <v>129</v>
      </c>
      <c r="BR29" s="61" t="s">
        <v>130</v>
      </c>
      <c r="BS29" s="61">
        <v>8</v>
      </c>
      <c r="BT29" s="61" t="s">
        <v>131</v>
      </c>
      <c r="BU29" s="61" t="s">
        <v>130</v>
      </c>
      <c r="BV29" s="61">
        <v>8</v>
      </c>
      <c r="BW29" s="61" t="s">
        <v>131</v>
      </c>
      <c r="BX29" s="61" t="s">
        <v>198</v>
      </c>
      <c r="BY29" s="61">
        <f>BY12</f>
        <v>8.2</v>
      </c>
      <c r="BZ29" s="61"/>
    </row>
    <row r="30" spans="1:78" ht="12.75">
      <c r="A30" s="58" t="s">
        <v>55</v>
      </c>
      <c r="B30" s="57">
        <v>1.34E-10</v>
      </c>
      <c r="C30" s="58" t="s">
        <v>199</v>
      </c>
      <c r="E30" s="63">
        <v>24</v>
      </c>
      <c r="F30" s="74" t="s">
        <v>85</v>
      </c>
      <c r="G30" s="58" t="s">
        <v>184</v>
      </c>
      <c r="H30" s="57">
        <f>H5/(H24*H11*H7*H8)</f>
        <v>0.5087505087505086</v>
      </c>
      <c r="I30" s="83">
        <f>1/H30</f>
        <v>1.9656000000000005</v>
      </c>
      <c r="J30" s="83"/>
      <c r="K30" s="83"/>
      <c r="L30" s="83"/>
      <c r="M30" s="58" t="s">
        <v>166</v>
      </c>
      <c r="N30" s="70">
        <f>1/24</f>
        <v>0.041666666666666664</v>
      </c>
      <c r="O30" s="74" t="s">
        <v>200</v>
      </c>
      <c r="P30" s="74"/>
      <c r="Q30" s="74"/>
      <c r="R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2" t="s">
        <v>201</v>
      </c>
      <c r="AL30" s="81">
        <v>0.417</v>
      </c>
      <c r="AM30" s="77"/>
      <c r="AN30" s="72" t="s">
        <v>201</v>
      </c>
      <c r="AO30" s="81">
        <v>0.417</v>
      </c>
      <c r="AP30" s="77"/>
      <c r="AQ30" s="72" t="s">
        <v>201</v>
      </c>
      <c r="AR30" s="81">
        <v>0.417</v>
      </c>
      <c r="AS30" s="77"/>
      <c r="AT30" t="s">
        <v>90</v>
      </c>
      <c r="AU30" s="70">
        <v>8.63E-12</v>
      </c>
      <c r="AV30" s="74" t="s">
        <v>136</v>
      </c>
      <c r="AW30" t="s">
        <v>90</v>
      </c>
      <c r="AX30" s="70">
        <v>1.96E-08</v>
      </c>
      <c r="AY30" s="74" t="s">
        <v>136</v>
      </c>
      <c r="AZ30" t="s">
        <v>90</v>
      </c>
      <c r="BA30" s="70">
        <v>8.63E-12</v>
      </c>
      <c r="BB30" s="74" t="s">
        <v>136</v>
      </c>
      <c r="BC30" t="s">
        <v>90</v>
      </c>
      <c r="BD30" s="70">
        <v>1.96E-08</v>
      </c>
      <c r="BE30" s="74" t="s">
        <v>136</v>
      </c>
      <c r="BF30" t="s">
        <v>90</v>
      </c>
      <c r="BG30" s="70">
        <f>AU30</f>
        <v>8.63E-12</v>
      </c>
      <c r="BH30" s="74" t="s">
        <v>136</v>
      </c>
      <c r="BI30" t="s">
        <v>90</v>
      </c>
      <c r="BJ30" s="70">
        <f>AX30</f>
        <v>1.96E-08</v>
      </c>
      <c r="BK30" s="74" t="s">
        <v>136</v>
      </c>
      <c r="BL30" t="s">
        <v>90</v>
      </c>
      <c r="BM30" s="70">
        <f>BG30</f>
        <v>8.63E-12</v>
      </c>
      <c r="BN30" s="74" t="s">
        <v>136</v>
      </c>
      <c r="BO30" t="s">
        <v>90</v>
      </c>
      <c r="BP30" s="70">
        <f>BJ30</f>
        <v>1.96E-08</v>
      </c>
      <c r="BQ30" s="74" t="s">
        <v>136</v>
      </c>
      <c r="BR30" s="61" t="s">
        <v>137</v>
      </c>
      <c r="BS30" s="68">
        <f>BM30</f>
        <v>8.63E-12</v>
      </c>
      <c r="BT30" s="61" t="s">
        <v>138</v>
      </c>
      <c r="BU30" s="61" t="s">
        <v>137</v>
      </c>
      <c r="BV30" s="68">
        <f>BP30</f>
        <v>1.96E-08</v>
      </c>
      <c r="BW30" s="61" t="s">
        <v>138</v>
      </c>
      <c r="BX30" s="61" t="s">
        <v>120</v>
      </c>
      <c r="BY30" s="84">
        <v>1</v>
      </c>
      <c r="BZ30" s="61" t="s">
        <v>202</v>
      </c>
    </row>
    <row r="31" spans="1:78" ht="12.75">
      <c r="A31" s="58" t="s">
        <v>50</v>
      </c>
      <c r="B31" s="65">
        <v>30</v>
      </c>
      <c r="D31" t="s">
        <v>109</v>
      </c>
      <c r="E31" s="57">
        <v>60</v>
      </c>
      <c r="F31" s="74" t="s">
        <v>83</v>
      </c>
      <c r="G31" s="58" t="s">
        <v>140</v>
      </c>
      <c r="H31" s="57"/>
      <c r="I31" s="74"/>
      <c r="J31" s="74"/>
      <c r="K31" s="74"/>
      <c r="L31" s="74"/>
      <c r="M31" s="58"/>
      <c r="N31" s="63"/>
      <c r="AK31" s="72"/>
      <c r="AL31" s="73"/>
      <c r="AM31" s="59"/>
      <c r="AN31" s="72"/>
      <c r="AO31" s="73"/>
      <c r="AP31" s="59"/>
      <c r="AQ31" s="72"/>
      <c r="AR31" s="73"/>
      <c r="AS31" s="59"/>
      <c r="AT31" t="s">
        <v>147</v>
      </c>
      <c r="AU31">
        <v>0.683</v>
      </c>
      <c r="AV31" t="s">
        <v>128</v>
      </c>
      <c r="AW31" t="s">
        <v>147</v>
      </c>
      <c r="AX31">
        <v>0.684</v>
      </c>
      <c r="AY31" t="s">
        <v>128</v>
      </c>
      <c r="BF31" s="74" t="s">
        <v>130</v>
      </c>
      <c r="BG31">
        <v>8</v>
      </c>
      <c r="BH31" s="74" t="s">
        <v>129</v>
      </c>
      <c r="BI31" s="74" t="s">
        <v>130</v>
      </c>
      <c r="BJ31">
        <v>8</v>
      </c>
      <c r="BK31" s="74" t="s">
        <v>129</v>
      </c>
      <c r="BL31" s="74" t="s">
        <v>130</v>
      </c>
      <c r="BM31">
        <v>8</v>
      </c>
      <c r="BN31" s="74" t="s">
        <v>129</v>
      </c>
      <c r="BO31" s="74" t="s">
        <v>130</v>
      </c>
      <c r="BP31">
        <v>8</v>
      </c>
      <c r="BQ31" s="74" t="s">
        <v>129</v>
      </c>
      <c r="BR31" s="74" t="s">
        <v>130</v>
      </c>
      <c r="BS31">
        <v>8</v>
      </c>
      <c r="BT31" s="74" t="s">
        <v>129</v>
      </c>
      <c r="BU31" s="74" t="s">
        <v>130</v>
      </c>
      <c r="BV31">
        <v>8</v>
      </c>
      <c r="BW31" s="74" t="s">
        <v>129</v>
      </c>
      <c r="BX31" s="61" t="s">
        <v>203</v>
      </c>
      <c r="BY31" s="84">
        <v>1</v>
      </c>
      <c r="BZ31" s="61" t="s">
        <v>204</v>
      </c>
    </row>
    <row r="32" spans="1:78" ht="12.75">
      <c r="A32" s="58" t="s">
        <v>205</v>
      </c>
      <c r="B32" s="57">
        <v>54</v>
      </c>
      <c r="C32" t="s">
        <v>89</v>
      </c>
      <c r="D32" s="64" t="s">
        <v>118</v>
      </c>
      <c r="E32" s="57">
        <v>5.84E-11</v>
      </c>
      <c r="F32" s="64" t="s">
        <v>119</v>
      </c>
      <c r="G32" t="s">
        <v>206</v>
      </c>
      <c r="H32" s="57">
        <f>H5/(H24*H11*H25/8760*H26*H22/24)</f>
        <v>9447025.48108654</v>
      </c>
      <c r="I32" s="65">
        <f>1/H32</f>
        <v>1.0585342465753422E-07</v>
      </c>
      <c r="J32" s="65"/>
      <c r="K32" s="65"/>
      <c r="L32" s="65"/>
      <c r="M32" s="58" t="s">
        <v>207</v>
      </c>
      <c r="N32" s="63">
        <v>24</v>
      </c>
      <c r="O32" s="63" t="s">
        <v>85</v>
      </c>
      <c r="P32" s="63"/>
      <c r="Q32" s="63"/>
      <c r="R32" s="63"/>
      <c r="S32" s="58"/>
      <c r="T32" s="63"/>
      <c r="U32" s="63"/>
      <c r="V32" s="58"/>
      <c r="W32" s="63"/>
      <c r="X32" s="63"/>
      <c r="Y32" s="58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72" t="s">
        <v>208</v>
      </c>
      <c r="AL32" s="73">
        <v>24</v>
      </c>
      <c r="AM32" s="73" t="s">
        <v>85</v>
      </c>
      <c r="AN32" s="72" t="s">
        <v>208</v>
      </c>
      <c r="AO32" s="73">
        <v>24</v>
      </c>
      <c r="AP32" s="73" t="s">
        <v>85</v>
      </c>
      <c r="AQ32" s="72" t="s">
        <v>208</v>
      </c>
      <c r="AR32" s="73">
        <v>24</v>
      </c>
      <c r="AS32" s="73" t="s">
        <v>85</v>
      </c>
      <c r="BX32" s="61" t="s">
        <v>209</v>
      </c>
      <c r="BY32" s="84">
        <f>((0.0112*BY34*BY34)^0.5)+BY35*(1-EXP((-BY34*BY33)/(BY30*BY31*BY35)))</f>
        <v>0.7379506112711413</v>
      </c>
      <c r="BZ32" s="61" t="s">
        <v>210</v>
      </c>
    </row>
    <row r="33" spans="1:78" ht="12.75">
      <c r="A33" s="58" t="s">
        <v>184</v>
      </c>
      <c r="B33" s="57">
        <f>B28/(B30*B29*B31*B32)</f>
        <v>0.013161704703993261</v>
      </c>
      <c r="C33" s="74"/>
      <c r="D33" s="64" t="s">
        <v>113</v>
      </c>
      <c r="E33" s="64">
        <v>1</v>
      </c>
      <c r="G33" t="s">
        <v>211</v>
      </c>
      <c r="H33" s="65">
        <f>(H5/(H11*H24/365*H35*(N46+N47)*1000*N45))/((H36+H37+H38)/1000)</f>
        <v>3.011729266953084</v>
      </c>
      <c r="I33" s="65">
        <f>1/H33</f>
        <v>0.33203515700190517</v>
      </c>
      <c r="J33" s="65"/>
      <c r="K33" s="65"/>
      <c r="L33" s="65"/>
      <c r="N33" s="63">
        <v>24</v>
      </c>
      <c r="O33" t="s">
        <v>85</v>
      </c>
      <c r="T33" s="63"/>
      <c r="W33" s="63"/>
      <c r="Z33" s="63"/>
      <c r="AK33" s="59"/>
      <c r="AL33" s="73">
        <f>1/24</f>
        <v>0.041666666666666664</v>
      </c>
      <c r="AM33" s="59" t="s">
        <v>212</v>
      </c>
      <c r="AN33" s="59"/>
      <c r="AO33" s="73">
        <f>1/24</f>
        <v>0.041666666666666664</v>
      </c>
      <c r="AP33" s="59" t="s">
        <v>212</v>
      </c>
      <c r="AQ33" s="59"/>
      <c r="AR33" s="73">
        <f>1/24</f>
        <v>0.041666666666666664</v>
      </c>
      <c r="AS33" s="59" t="s">
        <v>212</v>
      </c>
      <c r="AT33" s="17" t="s">
        <v>10</v>
      </c>
      <c r="AU33" s="17" t="s">
        <v>213</v>
      </c>
      <c r="AV33" s="17" t="s">
        <v>1</v>
      </c>
      <c r="AZ33" s="5" t="s">
        <v>10</v>
      </c>
      <c r="BA33" s="5" t="s">
        <v>214</v>
      </c>
      <c r="BB33" s="5" t="s">
        <v>1</v>
      </c>
      <c r="BF33" s="18" t="s">
        <v>10</v>
      </c>
      <c r="BG33" s="18" t="s">
        <v>213</v>
      </c>
      <c r="BH33" s="18" t="s">
        <v>1</v>
      </c>
      <c r="BL33" s="19" t="s">
        <v>10</v>
      </c>
      <c r="BM33" s="19" t="s">
        <v>213</v>
      </c>
      <c r="BN33" s="19" t="s">
        <v>1</v>
      </c>
      <c r="BR33" s="20" t="s">
        <v>10</v>
      </c>
      <c r="BS33" s="20" t="s">
        <v>213</v>
      </c>
      <c r="BT33" s="20" t="s">
        <v>1</v>
      </c>
      <c r="BX33" s="61" t="s">
        <v>215</v>
      </c>
      <c r="BY33" s="84">
        <v>1</v>
      </c>
      <c r="BZ33" s="61" t="s">
        <v>202</v>
      </c>
    </row>
    <row r="34" spans="3:78" ht="12.75">
      <c r="C34" s="74"/>
      <c r="D34" t="s">
        <v>140</v>
      </c>
      <c r="E34" s="57">
        <f>(E24)/((E29/E30)*E26*E27*E28*E31)</f>
        <v>0.0002846975088967972</v>
      </c>
      <c r="F34" t="s">
        <v>33</v>
      </c>
      <c r="G34" s="58"/>
      <c r="H34" s="57"/>
      <c r="I34" s="58"/>
      <c r="J34" s="58"/>
      <c r="K34" s="58"/>
      <c r="L34" s="58"/>
      <c r="M34" s="63" t="s">
        <v>216</v>
      </c>
      <c r="N34" s="63">
        <v>30</v>
      </c>
      <c r="O34" s="63" t="s">
        <v>78</v>
      </c>
      <c r="P34" t="s">
        <v>217</v>
      </c>
      <c r="Q34">
        <v>30</v>
      </c>
      <c r="R34" s="63"/>
      <c r="AK34" s="73" t="s">
        <v>218</v>
      </c>
      <c r="AL34" s="73">
        <v>40</v>
      </c>
      <c r="AM34" s="73" t="s">
        <v>78</v>
      </c>
      <c r="AN34" s="73" t="s">
        <v>218</v>
      </c>
      <c r="AO34" s="73">
        <v>40</v>
      </c>
      <c r="AP34" s="73" t="s">
        <v>78</v>
      </c>
      <c r="AQ34" s="73" t="s">
        <v>218</v>
      </c>
      <c r="AR34" s="73">
        <v>40</v>
      </c>
      <c r="AS34" s="73" t="s">
        <v>78</v>
      </c>
      <c r="AT34" s="25"/>
      <c r="AU34" s="17" t="s">
        <v>29</v>
      </c>
      <c r="AV34" s="26" t="s">
        <v>22</v>
      </c>
      <c r="AZ34" s="27"/>
      <c r="BA34" s="5" t="s">
        <v>8</v>
      </c>
      <c r="BB34" s="27" t="s">
        <v>22</v>
      </c>
      <c r="BF34" s="18" t="s">
        <v>5</v>
      </c>
      <c r="BG34" s="18" t="s">
        <v>30</v>
      </c>
      <c r="BH34" s="28" t="s">
        <v>22</v>
      </c>
      <c r="BL34" s="19" t="s">
        <v>3</v>
      </c>
      <c r="BM34" s="19" t="s">
        <v>30</v>
      </c>
      <c r="BN34" s="29" t="s">
        <v>22</v>
      </c>
      <c r="BR34" s="20" t="s">
        <v>31</v>
      </c>
      <c r="BS34" s="20" t="s">
        <v>30</v>
      </c>
      <c r="BT34" s="30" t="s">
        <v>22</v>
      </c>
      <c r="BX34" s="61" t="s">
        <v>219</v>
      </c>
      <c r="BY34" s="84">
        <v>1</v>
      </c>
      <c r="BZ34" s="61" t="s">
        <v>210</v>
      </c>
    </row>
    <row r="35" spans="1:78" ht="12.75">
      <c r="A35" s="5" t="s">
        <v>0</v>
      </c>
      <c r="B35" s="5"/>
      <c r="C35" s="5" t="s">
        <v>1</v>
      </c>
      <c r="D35" t="s">
        <v>149</v>
      </c>
      <c r="E35" s="57">
        <f>(E24)/((E29/E30)*E26*E27*E32*(1/365))</f>
        <v>3000</v>
      </c>
      <c r="F35" t="s">
        <v>33</v>
      </c>
      <c r="G35" s="58" t="s">
        <v>58</v>
      </c>
      <c r="H35" s="57">
        <f>N7</f>
        <v>1.34E-10</v>
      </c>
      <c r="I35" s="74"/>
      <c r="J35" s="74"/>
      <c r="K35" s="74"/>
      <c r="L35" s="74"/>
      <c r="M35" s="63" t="s">
        <v>46</v>
      </c>
      <c r="N35" s="70">
        <v>0.0016</v>
      </c>
      <c r="P35" s="63" t="s">
        <v>46</v>
      </c>
      <c r="Q35" s="70">
        <v>0.0016</v>
      </c>
      <c r="AK35" s="73" t="s">
        <v>46</v>
      </c>
      <c r="AL35" s="73">
        <v>0.0016</v>
      </c>
      <c r="AM35" s="59"/>
      <c r="AN35" s="73" t="s">
        <v>46</v>
      </c>
      <c r="AO35" s="73">
        <v>0.0016</v>
      </c>
      <c r="AP35" s="59"/>
      <c r="AQ35" s="73" t="s">
        <v>46</v>
      </c>
      <c r="AR35" s="73">
        <v>0.0016</v>
      </c>
      <c r="AS35" s="59"/>
      <c r="AT35" s="17" t="s">
        <v>36</v>
      </c>
      <c r="AU35" s="25">
        <f>(AU37*AU38*AU39)/((1-EXP(-AU39*AU38))*AU41*AU46*(AU40/365)*AU44*((AU45)+(AU47*AU42)))</f>
        <v>4.130578295184623</v>
      </c>
      <c r="AV35" s="26" t="s">
        <v>34</v>
      </c>
      <c r="AZ35" s="5" t="s">
        <v>36</v>
      </c>
      <c r="BA35" s="27">
        <f>(BA37*BA38*BA39)/(BA41*(1-EXP(-BA39*BA38))*BA46*(BA40/365)*BA44*BA45/24*BA43)</f>
        <v>16.625975766146563</v>
      </c>
      <c r="BB35" s="27" t="s">
        <v>34</v>
      </c>
      <c r="BF35" s="18" t="s">
        <v>36</v>
      </c>
      <c r="BG35" s="51">
        <f>(BG37*BG38*BG39)/((1-EXP(-BG39*BG38))*BG41*BG46*(BG40/365)*BG44*(BG47/24)*BG42)</f>
        <v>17.946676243833622</v>
      </c>
      <c r="BH35" s="28" t="s">
        <v>34</v>
      </c>
      <c r="BL35" s="19" t="s">
        <v>36</v>
      </c>
      <c r="BM35" s="52">
        <f>(BM37*BM38*BM39)/((1-EXP(-BM39*BM38))*BM41*BM46*(BM40/365)*BM44*(BM47/24)*BM43)</f>
        <v>7.976300552814944</v>
      </c>
      <c r="BN35" s="29" t="s">
        <v>34</v>
      </c>
      <c r="BR35" s="20"/>
      <c r="BS35" s="53">
        <f>(BS37*BS38*BS39)/((1-EXP(-BS39*BS38))*BS41*BS46*(BS40/365)*BS44*(BS47/24)*BS43)</f>
        <v>7.1786704975334485</v>
      </c>
      <c r="BT35" s="30" t="s">
        <v>34</v>
      </c>
      <c r="BX35" s="61" t="s">
        <v>220</v>
      </c>
      <c r="BY35" s="84">
        <v>1</v>
      </c>
      <c r="BZ35" s="61" t="s">
        <v>210</v>
      </c>
    </row>
    <row r="36" spans="1:78" ht="12.75">
      <c r="A36" s="5" t="s">
        <v>182</v>
      </c>
      <c r="B36" s="5" t="s">
        <v>14</v>
      </c>
      <c r="C36" s="5" t="s">
        <v>19</v>
      </c>
      <c r="D36" t="s">
        <v>140</v>
      </c>
      <c r="E36" s="57">
        <f>(E24*E25*E27)/((E29/E30)*(1-EXP(-E25*E27))*E28*E31*E26*E27)</f>
        <v>0.00029042941773036655</v>
      </c>
      <c r="F36" t="s">
        <v>35</v>
      </c>
      <c r="G36" t="s">
        <v>221</v>
      </c>
      <c r="H36" s="57">
        <f>(H39*H40*H41*(1-EXP(-H47*H42)))/(H49*H47)</f>
        <v>0.035746410762351036</v>
      </c>
      <c r="I36" t="s">
        <v>34</v>
      </c>
      <c r="N36" s="63">
        <v>365</v>
      </c>
      <c r="O36" t="s">
        <v>176</v>
      </c>
      <c r="Q36" s="63">
        <v>365</v>
      </c>
      <c r="R36" t="s">
        <v>176</v>
      </c>
      <c r="AK36" s="59"/>
      <c r="AL36" s="73">
        <v>365</v>
      </c>
      <c r="AM36" s="59" t="s">
        <v>176</v>
      </c>
      <c r="AN36" s="59"/>
      <c r="AO36" s="73">
        <v>365</v>
      </c>
      <c r="AP36" s="59" t="s">
        <v>176</v>
      </c>
      <c r="AQ36" s="59"/>
      <c r="AR36" s="73">
        <v>365</v>
      </c>
      <c r="AS36" s="59" t="s">
        <v>176</v>
      </c>
      <c r="AT36" s="17" t="s">
        <v>41</v>
      </c>
      <c r="AU36" s="25"/>
      <c r="AV36" s="26"/>
      <c r="AZ36" s="5" t="s">
        <v>41</v>
      </c>
      <c r="BA36" s="27"/>
      <c r="BB36" s="27"/>
      <c r="BF36" s="18" t="s">
        <v>41</v>
      </c>
      <c r="BG36" s="51"/>
      <c r="BH36" s="28"/>
      <c r="BL36" s="19" t="s">
        <v>41</v>
      </c>
      <c r="BM36" s="52"/>
      <c r="BN36" s="29"/>
      <c r="BO36" s="64"/>
      <c r="BP36" s="64"/>
      <c r="BQ36" s="64"/>
      <c r="BR36" s="20" t="s">
        <v>41</v>
      </c>
      <c r="BS36" s="56"/>
      <c r="BT36" s="30"/>
      <c r="BU36" s="62"/>
      <c r="BV36" s="62"/>
      <c r="BW36" s="62"/>
      <c r="BX36" s="61" t="s">
        <v>222</v>
      </c>
      <c r="BY36" s="84">
        <v>1</v>
      </c>
      <c r="BZ36" s="61" t="s">
        <v>210</v>
      </c>
    </row>
    <row r="37" spans="1:75" ht="12.75">
      <c r="A37" s="5" t="s">
        <v>223</v>
      </c>
      <c r="B37" s="39">
        <f>B47</f>
        <v>0.43872349013310874</v>
      </c>
      <c r="C37" s="27"/>
      <c r="D37" t="s">
        <v>149</v>
      </c>
      <c r="E37" s="57">
        <f>(E24*E25*E27)/((E29/E30)*(1-EXP(-E25*E27))*E32*E26*E27*(1/365))</f>
        <v>3060.3999893337373</v>
      </c>
      <c r="F37" t="s">
        <v>35</v>
      </c>
      <c r="G37" t="s">
        <v>224</v>
      </c>
      <c r="H37" s="65">
        <f>(H39*H40*H50*(1-EXP(-H47*H42)))/(H49*H47)</f>
        <v>9.294066798211269</v>
      </c>
      <c r="I37" t="s">
        <v>34</v>
      </c>
      <c r="M37" s="74" t="s">
        <v>35</v>
      </c>
      <c r="N37" s="65">
        <f>(N34*N35)/(1-EXP(-N35*N34))</f>
        <v>1.0241919926276042</v>
      </c>
      <c r="P37" s="74" t="s">
        <v>35</v>
      </c>
      <c r="Q37" s="57">
        <f>1-EXP(-Q35*Q34)</f>
        <v>0.046866212922495265</v>
      </c>
      <c r="AK37" s="77" t="s">
        <v>35</v>
      </c>
      <c r="AL37" s="59">
        <f>(AL34*AL35)/(1-EXP(-AL35*AL34))</f>
        <v>1.0323413100339163</v>
      </c>
      <c r="AM37" s="59"/>
      <c r="AN37" s="77" t="s">
        <v>35</v>
      </c>
      <c r="AO37" s="59">
        <f>(AO34*AO35)/(1-EXP(-AO35*AO34))</f>
        <v>1.0323413100339163</v>
      </c>
      <c r="AP37" s="59"/>
      <c r="AQ37" s="77" t="s">
        <v>35</v>
      </c>
      <c r="AR37" s="59">
        <f>(AR34*AR35)/(1-EXP(-AR35*AR34))</f>
        <v>1.0323413100339163</v>
      </c>
      <c r="AS37" s="59"/>
      <c r="AT37" t="s">
        <v>43</v>
      </c>
      <c r="AU37" s="57">
        <v>1E-06</v>
      </c>
      <c r="AZ37" t="s">
        <v>43</v>
      </c>
      <c r="BA37" s="57">
        <v>1E-06</v>
      </c>
      <c r="BF37" t="s">
        <v>43</v>
      </c>
      <c r="BG37" s="57">
        <v>1E-06</v>
      </c>
      <c r="BL37" t="s">
        <v>43</v>
      </c>
      <c r="BM37" s="57">
        <v>1E-06</v>
      </c>
      <c r="BR37" t="s">
        <v>43</v>
      </c>
      <c r="BS37" s="57">
        <v>1E-06</v>
      </c>
      <c r="BU37" s="61"/>
      <c r="BV37" s="61"/>
      <c r="BW37" s="61"/>
    </row>
    <row r="38" spans="1:72" ht="12.75">
      <c r="A38" s="5" t="s">
        <v>225</v>
      </c>
      <c r="B38" s="39" t="s">
        <v>29</v>
      </c>
      <c r="C38" s="27"/>
      <c r="G38" s="58" t="s">
        <v>226</v>
      </c>
      <c r="H38" s="57">
        <f>(H39*H40*H51*H52*(1-EXP(-H48*H43)))/(H45*H48)</f>
        <v>3.642420320634722</v>
      </c>
      <c r="I38" s="74" t="s">
        <v>34</v>
      </c>
      <c r="J38" s="74"/>
      <c r="K38" s="74"/>
      <c r="L38" s="74"/>
      <c r="N38">
        <v>1000</v>
      </c>
      <c r="O38" t="s">
        <v>178</v>
      </c>
      <c r="AK38" s="59"/>
      <c r="AL38" s="59">
        <v>1000</v>
      </c>
      <c r="AM38" s="59" t="s">
        <v>178</v>
      </c>
      <c r="AN38" s="59"/>
      <c r="AO38" s="59">
        <v>1000</v>
      </c>
      <c r="AP38" s="59" t="s">
        <v>178</v>
      </c>
      <c r="AQ38" s="59"/>
      <c r="AR38" s="59"/>
      <c r="AS38" s="59"/>
      <c r="AT38" t="s">
        <v>52</v>
      </c>
      <c r="AU38">
        <v>30</v>
      </c>
      <c r="AV38" t="s">
        <v>53</v>
      </c>
      <c r="AZ38" t="s">
        <v>52</v>
      </c>
      <c r="BA38">
        <v>30</v>
      </c>
      <c r="BB38" t="s">
        <v>53</v>
      </c>
      <c r="BF38" t="s">
        <v>52</v>
      </c>
      <c r="BG38">
        <v>25</v>
      </c>
      <c r="BH38" t="s">
        <v>53</v>
      </c>
      <c r="BL38" t="s">
        <v>52</v>
      </c>
      <c r="BM38">
        <v>25</v>
      </c>
      <c r="BN38" t="s">
        <v>53</v>
      </c>
      <c r="BR38" t="s">
        <v>52</v>
      </c>
      <c r="BS38">
        <v>25</v>
      </c>
      <c r="BT38" t="s">
        <v>53</v>
      </c>
    </row>
    <row r="39" spans="1:75" ht="12.75">
      <c r="A39" s="58" t="s">
        <v>43</v>
      </c>
      <c r="B39" s="57">
        <v>1E-06</v>
      </c>
      <c r="D39" s="85" t="s">
        <v>2</v>
      </c>
      <c r="E39" s="85" t="s">
        <v>31</v>
      </c>
      <c r="F39" s="85" t="s">
        <v>1</v>
      </c>
      <c r="G39" s="58" t="s">
        <v>227</v>
      </c>
      <c r="H39">
        <v>3.62</v>
      </c>
      <c r="I39" s="74"/>
      <c r="J39" s="74"/>
      <c r="K39" s="74"/>
      <c r="L39" s="74"/>
      <c r="AK39" s="59"/>
      <c r="AL39" s="59"/>
      <c r="AM39" s="59"/>
      <c r="AN39" s="59"/>
      <c r="AO39" s="59"/>
      <c r="AP39" s="59"/>
      <c r="AQ39" s="59"/>
      <c r="AR39" s="59"/>
      <c r="AS39" s="59"/>
      <c r="AT39" t="s">
        <v>46</v>
      </c>
      <c r="AU39" s="70">
        <f>AU7</f>
        <v>0.0016</v>
      </c>
      <c r="AZ39" t="s">
        <v>46</v>
      </c>
      <c r="BA39" s="70">
        <f>BA7</f>
        <v>0.0016</v>
      </c>
      <c r="BF39" t="s">
        <v>46</v>
      </c>
      <c r="BG39" s="70">
        <f>AU39</f>
        <v>0.0016</v>
      </c>
      <c r="BL39" t="s">
        <v>46</v>
      </c>
      <c r="BM39" s="70">
        <f>BG39</f>
        <v>0.0016</v>
      </c>
      <c r="BR39" s="61" t="s">
        <v>46</v>
      </c>
      <c r="BS39" s="68">
        <v>0.0016</v>
      </c>
      <c r="BT39" s="61"/>
      <c r="BU39" s="61"/>
      <c r="BV39" s="61"/>
      <c r="BW39" s="61"/>
    </row>
    <row r="40" spans="1:75" ht="12.75">
      <c r="A40" s="58" t="s">
        <v>47</v>
      </c>
      <c r="B40" s="63">
        <v>350</v>
      </c>
      <c r="C40" s="58" t="s">
        <v>48</v>
      </c>
      <c r="D40" s="85" t="s">
        <v>16</v>
      </c>
      <c r="E40" s="85" t="s">
        <v>14</v>
      </c>
      <c r="F40" s="85" t="s">
        <v>17</v>
      </c>
      <c r="G40" s="58" t="s">
        <v>228</v>
      </c>
      <c r="H40">
        <v>0.25</v>
      </c>
      <c r="I40" s="74"/>
      <c r="J40" s="74"/>
      <c r="K40" s="74"/>
      <c r="L40" s="74"/>
      <c r="M40" s="58" t="s">
        <v>184</v>
      </c>
      <c r="N40" s="57">
        <f>(N5/(N9*N10*N8*N11*(1/N6)))*N37</f>
        <v>3.745856164975511</v>
      </c>
      <c r="O40" s="74" t="s">
        <v>34</v>
      </c>
      <c r="P40" s="58" t="s">
        <v>184</v>
      </c>
      <c r="Q40" s="70">
        <f>(Q5*Q34*Q35)/(Q37*Q9*Q17*Q8*Q15/1000)</f>
        <v>4.495027397970613</v>
      </c>
      <c r="R40" s="74" t="s">
        <v>34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72" t="s">
        <v>184</v>
      </c>
      <c r="AL40" s="81">
        <f>(AL5/(AL9*AL10*AL6*AL8*AL11))*AL37</f>
        <v>2.954865357740837</v>
      </c>
      <c r="AM40" s="72" t="s">
        <v>34</v>
      </c>
      <c r="AN40" s="72"/>
      <c r="AO40" s="72"/>
      <c r="AP40" s="72"/>
      <c r="AQ40" s="72"/>
      <c r="AR40" s="72"/>
      <c r="AS40" s="72"/>
      <c r="AT40" t="s">
        <v>47</v>
      </c>
      <c r="AU40">
        <v>350</v>
      </c>
      <c r="AV40" t="s">
        <v>54</v>
      </c>
      <c r="AZ40" t="s">
        <v>47</v>
      </c>
      <c r="BA40">
        <v>350</v>
      </c>
      <c r="BB40" t="s">
        <v>54</v>
      </c>
      <c r="BF40" t="s">
        <v>47</v>
      </c>
      <c r="BG40">
        <v>250</v>
      </c>
      <c r="BH40" t="s">
        <v>54</v>
      </c>
      <c r="BL40" t="s">
        <v>47</v>
      </c>
      <c r="BM40">
        <v>225</v>
      </c>
      <c r="BN40" t="s">
        <v>54</v>
      </c>
      <c r="BR40" s="61" t="s">
        <v>47</v>
      </c>
      <c r="BS40" s="61">
        <v>250</v>
      </c>
      <c r="BT40" s="61" t="s">
        <v>54</v>
      </c>
      <c r="BU40" s="61"/>
      <c r="BV40" s="61"/>
      <c r="BW40" s="61"/>
    </row>
    <row r="41" spans="1:78" ht="12.75">
      <c r="A41" s="58" t="s">
        <v>55</v>
      </c>
      <c r="B41" s="57">
        <v>1.34E-10</v>
      </c>
      <c r="C41" s="58" t="s">
        <v>199</v>
      </c>
      <c r="D41" s="85" t="s">
        <v>35</v>
      </c>
      <c r="E41" s="33">
        <f>1/((1/E55)+(1/E56))</f>
        <v>0.00029042939016885863</v>
      </c>
      <c r="F41" s="86" t="s">
        <v>34</v>
      </c>
      <c r="G41" s="58" t="s">
        <v>229</v>
      </c>
      <c r="H41" s="65">
        <f>N52</f>
        <v>0.001</v>
      </c>
      <c r="I41" s="74"/>
      <c r="J41" s="74"/>
      <c r="K41" s="74"/>
      <c r="L41" s="74"/>
      <c r="M41" s="58" t="s">
        <v>140</v>
      </c>
      <c r="N41" s="57">
        <f>(N5/(N25*N18*N8*N11*(1/N24)*N29*N30*N38))*N37</f>
        <v>262.27214031021896</v>
      </c>
      <c r="O41" s="74" t="s">
        <v>34</v>
      </c>
      <c r="P41" s="58" t="s">
        <v>140</v>
      </c>
      <c r="Q41" s="70">
        <f>(Q5*Q34*Q35)/(Q37*Q11*Q18*Q8*Q15*(1/Q24)*Q13/24*1000)</f>
        <v>708.134778837591</v>
      </c>
      <c r="R41" s="74" t="s">
        <v>34</v>
      </c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 t="s">
        <v>140</v>
      </c>
      <c r="AL41" s="71">
        <f>(AL5/(AL25*AL18*AL8*AL11*(1/AL24)*AL32*AL33*AL38))*AL37</f>
        <v>192.91061729978787</v>
      </c>
      <c r="AM41" s="72" t="s">
        <v>34</v>
      </c>
      <c r="AN41" s="72"/>
      <c r="AO41" s="72"/>
      <c r="AP41" s="72"/>
      <c r="AQ41" s="72"/>
      <c r="AR41" s="72"/>
      <c r="AS41" s="72"/>
      <c r="AT41" t="s">
        <v>50</v>
      </c>
      <c r="AU41">
        <v>30</v>
      </c>
      <c r="AV41" t="s">
        <v>53</v>
      </c>
      <c r="AZ41" t="s">
        <v>50</v>
      </c>
      <c r="BA41">
        <v>30</v>
      </c>
      <c r="BB41" t="s">
        <v>53</v>
      </c>
      <c r="BF41" t="s">
        <v>50</v>
      </c>
      <c r="BG41">
        <v>25</v>
      </c>
      <c r="BH41" t="s">
        <v>53</v>
      </c>
      <c r="BL41" t="s">
        <v>50</v>
      </c>
      <c r="BM41">
        <v>25</v>
      </c>
      <c r="BN41" t="s">
        <v>53</v>
      </c>
      <c r="BR41" t="s">
        <v>50</v>
      </c>
      <c r="BS41">
        <v>25</v>
      </c>
      <c r="BT41" t="s">
        <v>53</v>
      </c>
      <c r="BU41" s="61"/>
      <c r="BV41" s="61"/>
      <c r="BW41" s="61"/>
      <c r="BX41" s="61"/>
      <c r="BY41" s="61"/>
      <c r="BZ41" s="61"/>
    </row>
    <row r="42" spans="1:78" ht="12.75">
      <c r="A42" s="58" t="s">
        <v>50</v>
      </c>
      <c r="B42" s="65">
        <v>30</v>
      </c>
      <c r="D42" s="85" t="s">
        <v>33</v>
      </c>
      <c r="E42" s="33">
        <f>1/((1/E53)+(1/E54))</f>
        <v>0.00028469748187924255</v>
      </c>
      <c r="F42" s="86" t="s">
        <v>34</v>
      </c>
      <c r="G42" s="58" t="s">
        <v>230</v>
      </c>
      <c r="H42">
        <v>10950</v>
      </c>
      <c r="I42" s="74"/>
      <c r="J42" s="74"/>
      <c r="K42" s="74"/>
      <c r="L42" s="74"/>
      <c r="M42" s="58" t="s">
        <v>192</v>
      </c>
      <c r="N42" s="57">
        <f>(N5/(N23*N22*(N26+N27*N21)*N8*(1/N36)*N11))*N37</f>
        <v>3.856736674847299</v>
      </c>
      <c r="O42" s="74" t="s">
        <v>34</v>
      </c>
      <c r="P42" s="58" t="s">
        <v>192</v>
      </c>
      <c r="Q42" s="74">
        <f>(Q5*Q34*Q35)/(Q37*Q10*Q12*Q13/24*Q14*Q8/365*Q15)</f>
        <v>15.54167299878917</v>
      </c>
      <c r="R42" s="74" t="s">
        <v>34</v>
      </c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72" t="s">
        <v>192</v>
      </c>
      <c r="AL42" s="71">
        <f>(AL5/(AL23*AL22*(AL29+AL30*AL21)*AL8*(1/AL36)*AL11))*AL37</f>
        <v>1.4997564316980778</v>
      </c>
      <c r="AM42" s="72" t="s">
        <v>34</v>
      </c>
      <c r="AN42" s="72"/>
      <c r="AO42" s="72"/>
      <c r="AP42" s="72"/>
      <c r="AQ42" s="72"/>
      <c r="AR42" s="72"/>
      <c r="AS42" s="72"/>
      <c r="AT42" t="s">
        <v>98</v>
      </c>
      <c r="AU42">
        <v>0.4</v>
      </c>
      <c r="AZ42" t="s">
        <v>98</v>
      </c>
      <c r="BA42">
        <v>0.4</v>
      </c>
      <c r="BF42" t="s">
        <v>98</v>
      </c>
      <c r="BG42">
        <v>0.4</v>
      </c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ht="12.75">
      <c r="A43" s="58" t="s">
        <v>205</v>
      </c>
      <c r="B43" s="57">
        <v>54</v>
      </c>
      <c r="C43" t="s">
        <v>89</v>
      </c>
      <c r="D43" t="s">
        <v>43</v>
      </c>
      <c r="E43" s="57">
        <v>1E-06</v>
      </c>
      <c r="F43" s="87"/>
      <c r="G43" s="58" t="s">
        <v>231</v>
      </c>
      <c r="H43">
        <v>60</v>
      </c>
      <c r="M43" s="88" t="s">
        <v>232</v>
      </c>
      <c r="N43" s="89">
        <f>(N5/(N11*N8/365*N7*(N46+N47)*1000*N45))/(N52+N54)</f>
        <v>0.14968910106847338</v>
      </c>
      <c r="O43" s="90" t="s">
        <v>34</v>
      </c>
      <c r="P43" s="90"/>
      <c r="Q43" s="90"/>
      <c r="R43" s="90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72" t="s">
        <v>232</v>
      </c>
      <c r="AL43" s="71">
        <f>AO43/(AL26+AL101)</f>
        <v>0.02696515548276352</v>
      </c>
      <c r="AM43" s="72" t="s">
        <v>34</v>
      </c>
      <c r="AN43" s="72" t="s">
        <v>232</v>
      </c>
      <c r="AO43" s="71">
        <f>AO5/(AO11*AO8/365*AO7*(AO55+AO56)*1000*AO54)</f>
        <v>0.007037905581001279</v>
      </c>
      <c r="AP43" s="72" t="s">
        <v>34</v>
      </c>
      <c r="AQ43" s="72" t="s">
        <v>232</v>
      </c>
      <c r="AR43" s="91">
        <f>AO43/((AR51+AR52+AR53)/1000)</f>
        <v>0.5425361457560629</v>
      </c>
      <c r="AS43" s="72" t="s">
        <v>34</v>
      </c>
      <c r="AT43" t="s">
        <v>106</v>
      </c>
      <c r="AU43">
        <v>1</v>
      </c>
      <c r="AZ43" t="s">
        <v>106</v>
      </c>
      <c r="BA43">
        <v>1</v>
      </c>
      <c r="BF43" t="s">
        <v>106</v>
      </c>
      <c r="BG43">
        <v>1</v>
      </c>
      <c r="BL43" t="s">
        <v>98</v>
      </c>
      <c r="BM43">
        <v>1</v>
      </c>
      <c r="BR43" s="61" t="s">
        <v>106</v>
      </c>
      <c r="BS43" s="61">
        <v>1</v>
      </c>
      <c r="BT43" s="61"/>
      <c r="BU43" s="61"/>
      <c r="BV43" s="61"/>
      <c r="BW43" s="61"/>
      <c r="BX43" s="61"/>
      <c r="BY43" s="61"/>
      <c r="BZ43" s="61"/>
    </row>
    <row r="44" spans="1:78" ht="12.75">
      <c r="A44" s="58"/>
      <c r="B44" s="63">
        <v>1000</v>
      </c>
      <c r="C44" s="74" t="s">
        <v>178</v>
      </c>
      <c r="D44" s="92" t="s">
        <v>46</v>
      </c>
      <c r="E44" s="93">
        <v>0.0016</v>
      </c>
      <c r="F44" s="87"/>
      <c r="G44" s="64" t="s">
        <v>233</v>
      </c>
      <c r="H44">
        <v>14</v>
      </c>
      <c r="M44" s="94"/>
      <c r="N44" s="94"/>
      <c r="O44" s="94"/>
      <c r="P44" s="94"/>
      <c r="Q44" s="94"/>
      <c r="R44" s="94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72" t="s">
        <v>234</v>
      </c>
      <c r="AL44" s="71">
        <f>((AL5)/(AL68*AL38*AL7*(AL8/365)*AL11*AL69*(1/(AL53+AL65*(AL66/AL67)))*(AL51/AL52)))*AL37</f>
        <v>0.013930802594251059</v>
      </c>
      <c r="AM44" s="77" t="s">
        <v>34</v>
      </c>
      <c r="AN44" s="72" t="s">
        <v>234</v>
      </c>
      <c r="AO44" s="81">
        <f>AO5/(AO11*AO8/365*AO7*AO68*1000)</f>
        <v>0.004877485580014549</v>
      </c>
      <c r="AP44" s="77" t="s">
        <v>34</v>
      </c>
      <c r="AQ44" s="72" t="s">
        <v>234</v>
      </c>
      <c r="AR44" s="81">
        <f>AO44/(AR69*(1/1000))</f>
        <v>0.16258285266715164</v>
      </c>
      <c r="AS44" s="77"/>
      <c r="AT44" t="s">
        <v>112</v>
      </c>
      <c r="AU44" s="65">
        <f>AU12</f>
        <v>0.965</v>
      </c>
      <c r="AZ44" t="s">
        <v>112</v>
      </c>
      <c r="BA44" s="65">
        <f>BA12</f>
        <v>0.249</v>
      </c>
      <c r="BF44" t="s">
        <v>112</v>
      </c>
      <c r="BG44" s="65">
        <f>AU44</f>
        <v>0.965</v>
      </c>
      <c r="BL44" t="s">
        <v>112</v>
      </c>
      <c r="BM44" s="65">
        <f>BG44</f>
        <v>0.965</v>
      </c>
      <c r="BR44" s="61" t="s">
        <v>112</v>
      </c>
      <c r="BS44" s="61">
        <v>0.965</v>
      </c>
      <c r="BT44" s="61"/>
      <c r="BU44" s="61"/>
      <c r="BV44" s="61"/>
      <c r="BW44" s="61"/>
      <c r="BX44" s="61"/>
      <c r="BY44" s="61"/>
      <c r="BZ44" s="61"/>
    </row>
    <row r="45" spans="1:78" ht="12.75">
      <c r="A45" s="58" t="s">
        <v>235</v>
      </c>
      <c r="B45" s="70">
        <v>30</v>
      </c>
      <c r="C45" s="74" t="s">
        <v>236</v>
      </c>
      <c r="D45" s="95" t="s">
        <v>237</v>
      </c>
      <c r="E45" s="87">
        <v>250</v>
      </c>
      <c r="F45" s="87" t="s">
        <v>54</v>
      </c>
      <c r="G45" s="64" t="s">
        <v>238</v>
      </c>
      <c r="H45">
        <v>2</v>
      </c>
      <c r="M45" s="94" t="s">
        <v>239</v>
      </c>
      <c r="N45" s="94">
        <v>0.25</v>
      </c>
      <c r="O45" s="94"/>
      <c r="P45" s="94"/>
      <c r="Q45" s="94"/>
      <c r="R45" s="94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72" t="s">
        <v>240</v>
      </c>
      <c r="AL45" s="71">
        <f>AO45/(AL70*((AL93*AL104*AL105*(AL27+AL102))+(AL94*AL104)))</f>
        <v>26.45318233201688</v>
      </c>
      <c r="AM45" s="81" t="s">
        <v>34</v>
      </c>
      <c r="AN45" s="72" t="s">
        <v>240</v>
      </c>
      <c r="AO45" s="81">
        <f>AO5/(AO11*AO8/365*AO7*AO77*1000)</f>
        <v>0.004485599995084273</v>
      </c>
      <c r="AP45" s="81" t="s">
        <v>34</v>
      </c>
      <c r="AQ45" s="72" t="s">
        <v>240</v>
      </c>
      <c r="AR45" s="81">
        <f>AO45/(AR70*AR78/1000)</f>
        <v>1692.6792434280273</v>
      </c>
      <c r="AS45" s="81" t="s">
        <v>34</v>
      </c>
      <c r="AT45" t="s">
        <v>127</v>
      </c>
      <c r="AU45">
        <v>0.073</v>
      </c>
      <c r="AV45" t="s">
        <v>128</v>
      </c>
      <c r="AZ45" t="s">
        <v>87</v>
      </c>
      <c r="BA45">
        <v>8</v>
      </c>
      <c r="BB45" t="s">
        <v>128</v>
      </c>
      <c r="BF45" t="s">
        <v>127</v>
      </c>
      <c r="BG45">
        <v>0</v>
      </c>
      <c r="BH45" t="s">
        <v>128</v>
      </c>
      <c r="BL45" t="s">
        <v>127</v>
      </c>
      <c r="BM45">
        <v>0.33</v>
      </c>
      <c r="BN45" t="s">
        <v>128</v>
      </c>
      <c r="BR45" s="61" t="s">
        <v>130</v>
      </c>
      <c r="BS45" s="61">
        <v>8</v>
      </c>
      <c r="BT45" s="61" t="s">
        <v>131</v>
      </c>
      <c r="BU45" s="61"/>
      <c r="BV45" s="61"/>
      <c r="BW45" s="61"/>
      <c r="BX45" s="61"/>
      <c r="BY45" s="61"/>
      <c r="BZ45" s="61"/>
    </row>
    <row r="46" spans="1:78" ht="12.75">
      <c r="A46" s="58" t="s">
        <v>241</v>
      </c>
      <c r="B46">
        <v>1</v>
      </c>
      <c r="C46" s="74" t="s">
        <v>242</v>
      </c>
      <c r="D46" s="95" t="s">
        <v>243</v>
      </c>
      <c r="E46" s="87">
        <v>25</v>
      </c>
      <c r="F46" s="87" t="s">
        <v>53</v>
      </c>
      <c r="G46" s="64" t="s">
        <v>244</v>
      </c>
      <c r="H46" s="57">
        <v>2.7E-05</v>
      </c>
      <c r="M46" s="94" t="s">
        <v>245</v>
      </c>
      <c r="N46" s="94">
        <v>17.48</v>
      </c>
      <c r="O46" s="94"/>
      <c r="P46" s="94"/>
      <c r="Q46" s="94"/>
      <c r="R46" s="94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72" t="s">
        <v>246</v>
      </c>
      <c r="AL46" s="71">
        <f>AO46/(AL71*((AL96*AL106*AL107*(AL27+AL102))+(AL97*AL106)))</f>
        <v>100.41485917351322</v>
      </c>
      <c r="AM46" s="71" t="s">
        <v>34</v>
      </c>
      <c r="AN46" s="72" t="s">
        <v>246</v>
      </c>
      <c r="AO46" s="71">
        <f>AO5/(AO11*AO8/365*AO7*AO78*1000)</f>
        <v>0.0009478158557387912</v>
      </c>
      <c r="AP46" s="71" t="s">
        <v>34</v>
      </c>
      <c r="AQ46" s="72" t="s">
        <v>246</v>
      </c>
      <c r="AR46" s="71">
        <f>AO46/(AR71*AR79/1000)</f>
        <v>5151.173129015169</v>
      </c>
      <c r="AS46" s="71" t="s">
        <v>34</v>
      </c>
      <c r="AT46" t="s">
        <v>90</v>
      </c>
      <c r="AU46" s="70">
        <v>2.58E-08</v>
      </c>
      <c r="AV46" s="74" t="s">
        <v>136</v>
      </c>
      <c r="AZ46" t="s">
        <v>90</v>
      </c>
      <c r="BA46" s="70">
        <v>2.58E-08</v>
      </c>
      <c r="BB46" s="74" t="s">
        <v>136</v>
      </c>
      <c r="BF46" t="s">
        <v>90</v>
      </c>
      <c r="BG46" s="70">
        <f>AU46</f>
        <v>2.58E-08</v>
      </c>
      <c r="BH46" s="74" t="s">
        <v>136</v>
      </c>
      <c r="BL46" t="s">
        <v>90</v>
      </c>
      <c r="BM46" s="70">
        <f>BG46</f>
        <v>2.58E-08</v>
      </c>
      <c r="BN46" s="74" t="s">
        <v>136</v>
      </c>
      <c r="BR46" s="61" t="s">
        <v>137</v>
      </c>
      <c r="BS46" s="68">
        <f>BM46</f>
        <v>2.58E-08</v>
      </c>
      <c r="BT46" s="61" t="s">
        <v>138</v>
      </c>
      <c r="BU46" s="61"/>
      <c r="BV46" s="61"/>
      <c r="BW46" s="61"/>
      <c r="BX46" s="61"/>
      <c r="BY46" s="61"/>
      <c r="BZ46" s="61"/>
    </row>
    <row r="47" spans="1:78" ht="12.75">
      <c r="A47" s="58" t="s">
        <v>184</v>
      </c>
      <c r="B47" s="57">
        <f>B39/(B41*B40*B42*B43*B45*B46*(1/B44))</f>
        <v>0.43872349013310874</v>
      </c>
      <c r="D47" t="s">
        <v>74</v>
      </c>
      <c r="E47" s="70">
        <v>2.81E-08</v>
      </c>
      <c r="F47" s="74" t="s">
        <v>56</v>
      </c>
      <c r="G47" s="64" t="s">
        <v>247</v>
      </c>
      <c r="H47" s="57">
        <f>0+H46</f>
        <v>2.7E-05</v>
      </c>
      <c r="M47" s="94" t="s">
        <v>248</v>
      </c>
      <c r="N47" s="94">
        <v>9.08</v>
      </c>
      <c r="O47" s="94"/>
      <c r="P47" s="94"/>
      <c r="Q47" s="94"/>
      <c r="R47" s="94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72" t="s">
        <v>249</v>
      </c>
      <c r="AL47" s="71">
        <f>AO47/(AL72*((AL99*AL108*AL109*(AL27+AL102))+(AL100*AL108)))</f>
        <v>30.126761350161775</v>
      </c>
      <c r="AM47" s="81" t="s">
        <v>34</v>
      </c>
      <c r="AN47" s="72" t="s">
        <v>249</v>
      </c>
      <c r="AO47" s="81">
        <f>AO5/(AO11*AO8/365*AO7*AO79*1000)</f>
        <v>0.008033150280213888</v>
      </c>
      <c r="AP47" s="81" t="s">
        <v>34</v>
      </c>
      <c r="AQ47" s="72" t="s">
        <v>249</v>
      </c>
      <c r="AR47" s="81">
        <f>AO47/(AR72*AR81/1000)</f>
        <v>4145.072384011293</v>
      </c>
      <c r="AS47" s="81" t="s">
        <v>34</v>
      </c>
      <c r="AT47" t="s">
        <v>147</v>
      </c>
      <c r="AU47">
        <v>0.683</v>
      </c>
      <c r="AV47" t="s">
        <v>128</v>
      </c>
      <c r="BF47" s="74" t="s">
        <v>130</v>
      </c>
      <c r="BG47">
        <v>8</v>
      </c>
      <c r="BH47" s="74" t="s">
        <v>129</v>
      </c>
      <c r="BL47" s="74" t="s">
        <v>130</v>
      </c>
      <c r="BM47">
        <v>8</v>
      </c>
      <c r="BN47" s="74" t="s">
        <v>129</v>
      </c>
      <c r="BR47" s="74" t="s">
        <v>130</v>
      </c>
      <c r="BS47">
        <v>8</v>
      </c>
      <c r="BT47" s="74" t="s">
        <v>129</v>
      </c>
      <c r="BU47" s="61"/>
      <c r="BV47" s="61"/>
      <c r="BW47" s="61"/>
      <c r="BX47" s="61"/>
      <c r="BY47" s="61"/>
      <c r="BZ47" s="61"/>
    </row>
    <row r="48" spans="4:78" ht="12.75">
      <c r="D48" s="95" t="s">
        <v>84</v>
      </c>
      <c r="E48" s="96">
        <v>8</v>
      </c>
      <c r="F48" s="95" t="s">
        <v>85</v>
      </c>
      <c r="G48" s="64" t="s">
        <v>250</v>
      </c>
      <c r="H48" s="65">
        <f>0+(0.693/H44)</f>
        <v>0.0495</v>
      </c>
      <c r="M48" s="94" t="s">
        <v>251</v>
      </c>
      <c r="N48" s="94">
        <v>5.4</v>
      </c>
      <c r="O48" s="94"/>
      <c r="P48" s="94"/>
      <c r="Q48" s="94"/>
      <c r="R48" s="94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72" t="s">
        <v>252</v>
      </c>
      <c r="AL48" s="71">
        <f>AO48/(AL73*((AL90*AL110*AL111*(AL27+AL102))+(AL91*AL110)))</f>
        <v>14.24655335983876</v>
      </c>
      <c r="AM48" s="81" t="s">
        <v>34</v>
      </c>
      <c r="AN48" s="72" t="s">
        <v>252</v>
      </c>
      <c r="AO48" s="81">
        <f>AO5/(AO11*AO8/365*AO7*AO76*1000)</f>
        <v>0.006239990371609378</v>
      </c>
      <c r="AP48" s="81" t="s">
        <v>34</v>
      </c>
      <c r="AQ48" s="72" t="s">
        <v>252</v>
      </c>
      <c r="AR48" s="81">
        <f>AO48/(AR73*AR80/1000)</f>
        <v>1039.9983952682296</v>
      </c>
      <c r="AS48" s="81" t="s">
        <v>34</v>
      </c>
      <c r="BU48" s="61"/>
      <c r="BV48" s="61"/>
      <c r="BW48" s="61"/>
      <c r="BX48" s="61"/>
      <c r="BY48" s="61"/>
      <c r="BZ48" s="61"/>
    </row>
    <row r="49" spans="4:45" ht="12.75">
      <c r="D49" s="87"/>
      <c r="E49" s="96">
        <v>24</v>
      </c>
      <c r="F49" s="95" t="s">
        <v>85</v>
      </c>
      <c r="G49" s="64" t="s">
        <v>253</v>
      </c>
      <c r="H49">
        <v>240</v>
      </c>
      <c r="M49" s="94" t="s">
        <v>254</v>
      </c>
      <c r="N49" s="94">
        <v>20.5</v>
      </c>
      <c r="O49" s="94"/>
      <c r="P49" s="94"/>
      <c r="Q49" s="94"/>
      <c r="R49" s="94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72" t="s">
        <v>255</v>
      </c>
      <c r="AL49" s="81">
        <f>AO49/(AL74*((AL90*AL112*AL113*(AL27+AL102))+(AL91*AL111)))</f>
        <v>51.21531903456255</v>
      </c>
      <c r="AM49" s="81" t="s">
        <v>34</v>
      </c>
      <c r="AN49" s="72" t="s">
        <v>255</v>
      </c>
      <c r="AO49" s="81">
        <f>AO5/(AO11*AO8/365*AO7*AO75*1000)</f>
        <v>0.014954873158092265</v>
      </c>
      <c r="AP49" s="81" t="s">
        <v>34</v>
      </c>
      <c r="AQ49" s="72" t="s">
        <v>255</v>
      </c>
      <c r="AR49" s="81">
        <f>AO49/(AR74*AR80/1000)</f>
        <v>3738.7182895230667</v>
      </c>
      <c r="AS49" s="81" t="s">
        <v>34</v>
      </c>
    </row>
    <row r="50" spans="4:45" ht="12.75">
      <c r="D50" s="95" t="s">
        <v>256</v>
      </c>
      <c r="E50" s="93">
        <v>60</v>
      </c>
      <c r="F50" s="95" t="s">
        <v>83</v>
      </c>
      <c r="G50" s="64" t="s">
        <v>154</v>
      </c>
      <c r="H50" s="65">
        <f>0.26</f>
        <v>0.26</v>
      </c>
      <c r="M50" s="94" t="s">
        <v>257</v>
      </c>
      <c r="N50" s="94">
        <v>3.8</v>
      </c>
      <c r="O50" s="94"/>
      <c r="P50" s="94"/>
      <c r="Q50" s="94"/>
      <c r="R50" s="94"/>
      <c r="AK50" s="72" t="s">
        <v>258</v>
      </c>
      <c r="AL50" s="59">
        <v>1</v>
      </c>
      <c r="AM50" s="59"/>
      <c r="AN50" s="59"/>
      <c r="AO50" s="59"/>
      <c r="AP50" s="59"/>
      <c r="AQ50" s="59"/>
      <c r="AR50" s="59"/>
      <c r="AS50" s="59"/>
    </row>
    <row r="51" spans="4:45" ht="12.75">
      <c r="D51" s="64" t="s">
        <v>118</v>
      </c>
      <c r="E51" s="57">
        <v>5.84E-11</v>
      </c>
      <c r="F51" s="64" t="s">
        <v>119</v>
      </c>
      <c r="G51" s="64" t="s">
        <v>259</v>
      </c>
      <c r="H51">
        <v>0.42</v>
      </c>
      <c r="M51" s="94" t="s">
        <v>260</v>
      </c>
      <c r="N51" s="94">
        <v>10.4</v>
      </c>
      <c r="O51" s="94"/>
      <c r="P51" s="94"/>
      <c r="Q51" s="94"/>
      <c r="R51" s="94"/>
      <c r="AK51" s="59" t="s">
        <v>261</v>
      </c>
      <c r="AL51" s="59">
        <v>10000</v>
      </c>
      <c r="AM51" s="59" t="s">
        <v>262</v>
      </c>
      <c r="AN51" s="59"/>
      <c r="AO51" s="59"/>
      <c r="AP51" s="59"/>
      <c r="AQ51" t="s">
        <v>221</v>
      </c>
      <c r="AR51" s="57">
        <f>(AR54*AR55*AR26*(1-EXP(-AR62*AR57)))/(AR64*AR62)</f>
        <v>0.035746410762351036</v>
      </c>
      <c r="AS51" s="59"/>
    </row>
    <row r="52" spans="4:45" ht="12.75">
      <c r="D52" s="92" t="s">
        <v>113</v>
      </c>
      <c r="E52" s="92">
        <v>1</v>
      </c>
      <c r="F52" s="87"/>
      <c r="G52" s="64" t="s">
        <v>263</v>
      </c>
      <c r="H52">
        <v>1</v>
      </c>
      <c r="M52" s="94" t="s">
        <v>229</v>
      </c>
      <c r="N52" s="94">
        <v>0.001</v>
      </c>
      <c r="O52" s="94"/>
      <c r="P52" s="94"/>
      <c r="Q52" s="94"/>
      <c r="R52" s="94"/>
      <c r="AK52" s="59" t="s">
        <v>264</v>
      </c>
      <c r="AL52" s="59">
        <v>100000</v>
      </c>
      <c r="AM52" s="59" t="s">
        <v>262</v>
      </c>
      <c r="AN52" s="59"/>
      <c r="AO52" s="59"/>
      <c r="AP52" s="59"/>
      <c r="AQ52" t="s">
        <v>224</v>
      </c>
      <c r="AR52" s="65">
        <f>(AR54*AR55*AR65*(1-EXP(-AR62*AR57)))/(AR64*AR62)</f>
        <v>9.294066798211269</v>
      </c>
      <c r="AS52" s="59"/>
    </row>
    <row r="53" spans="4:45" ht="12.75">
      <c r="D53" s="87" t="s">
        <v>265</v>
      </c>
      <c r="E53" s="57">
        <f>(E43)/((E48/E49)*E45*E46*E47*E50)</f>
        <v>0.0002846975088967972</v>
      </c>
      <c r="F53" s="87" t="s">
        <v>33</v>
      </c>
      <c r="G53" s="64"/>
      <c r="AK53" s="59" t="s">
        <v>198</v>
      </c>
      <c r="AL53" s="59">
        <v>8.2</v>
      </c>
      <c r="AM53" s="59" t="s">
        <v>236</v>
      </c>
      <c r="AN53" s="59"/>
      <c r="AO53" s="59"/>
      <c r="AP53" s="59"/>
      <c r="AQ53" s="58" t="s">
        <v>226</v>
      </c>
      <c r="AR53" s="57">
        <f>(AR54*AR55*AR66*AR67*(1-EXP(-AR63*AR58)))/(AR60*AR63)</f>
        <v>3.642420320634722</v>
      </c>
      <c r="AS53" s="59"/>
    </row>
    <row r="54" spans="4:45" ht="12.75">
      <c r="D54" s="87" t="s">
        <v>266</v>
      </c>
      <c r="E54" s="57">
        <f>(E43)/((E48/E49)*E45*E46*E51*(1/365))</f>
        <v>3000</v>
      </c>
      <c r="F54" s="87" t="s">
        <v>33</v>
      </c>
      <c r="G54" s="64"/>
      <c r="M54" t="s">
        <v>267</v>
      </c>
      <c r="N54">
        <v>0.26</v>
      </c>
      <c r="AK54" s="59" t="s">
        <v>268</v>
      </c>
      <c r="AL54" s="59">
        <v>1</v>
      </c>
      <c r="AM54" s="59"/>
      <c r="AN54" s="59" t="s">
        <v>268</v>
      </c>
      <c r="AO54" s="59">
        <v>1</v>
      </c>
      <c r="AP54" s="59"/>
      <c r="AQ54" s="58" t="s">
        <v>227</v>
      </c>
      <c r="AR54">
        <v>3.62</v>
      </c>
      <c r="AS54" s="59"/>
    </row>
    <row r="55" spans="4:45" ht="12.75">
      <c r="D55" s="87" t="s">
        <v>265</v>
      </c>
      <c r="E55" s="57">
        <f>(E43*E44*E46)/((E48/E49)*(1-EXP(-E44*E46))*E47*E50*E45*E46)</f>
        <v>0.00029042941773036655</v>
      </c>
      <c r="F55" s="87" t="s">
        <v>35</v>
      </c>
      <c r="G55" s="64"/>
      <c r="AK55" s="59" t="s">
        <v>269</v>
      </c>
      <c r="AL55" s="59">
        <f>(AL12*AL57+AL15*AL58)/AL11</f>
        <v>18.235</v>
      </c>
      <c r="AM55" s="59"/>
      <c r="AN55" s="59" t="s">
        <v>269</v>
      </c>
      <c r="AO55" s="97">
        <f>18.235</f>
        <v>18.235</v>
      </c>
      <c r="AP55" s="59"/>
      <c r="AQ55" s="58" t="s">
        <v>228</v>
      </c>
      <c r="AR55">
        <v>0.25</v>
      </c>
      <c r="AS55" s="59"/>
    </row>
    <row r="56" spans="4:72" ht="12.75">
      <c r="D56" s="87" t="s">
        <v>266</v>
      </c>
      <c r="E56" s="57">
        <f>(E43*E44*E46)/((E48/E49)*(1-EXP(-E44*E46))*E51*E45*E46*(1/365))</f>
        <v>3060.3999893337373</v>
      </c>
      <c r="F56" s="87" t="s">
        <v>35</v>
      </c>
      <c r="G56" s="64"/>
      <c r="AK56" s="59" t="s">
        <v>270</v>
      </c>
      <c r="AL56" s="59">
        <f>(AL12*AL59+AL15*AL60)/AL11</f>
        <v>9.41</v>
      </c>
      <c r="AM56" s="59"/>
      <c r="AN56" s="59" t="s">
        <v>270</v>
      </c>
      <c r="AO56" s="59">
        <f>AL56</f>
        <v>9.41</v>
      </c>
      <c r="AP56" s="59"/>
      <c r="AQ56" s="58" t="s">
        <v>229</v>
      </c>
      <c r="AR56" s="65">
        <f>AU67</f>
        <v>0</v>
      </c>
      <c r="AS56" s="59"/>
      <c r="AT56" s="64"/>
      <c r="AU56" s="64"/>
      <c r="AV56" s="64"/>
      <c r="BF56" s="64"/>
      <c r="BG56" s="64"/>
      <c r="BH56" s="64"/>
      <c r="BL56" s="64"/>
      <c r="BM56" s="64"/>
      <c r="BN56" s="64"/>
      <c r="BR56" s="62"/>
      <c r="BS56" s="62"/>
      <c r="BT56" s="62"/>
    </row>
    <row r="57" spans="7:72" ht="12.75">
      <c r="G57" s="64"/>
      <c r="AK57" s="59" t="s">
        <v>271</v>
      </c>
      <c r="AL57" s="59">
        <v>5.4</v>
      </c>
      <c r="AM57" s="59"/>
      <c r="AN57" s="59"/>
      <c r="AO57" s="59"/>
      <c r="AP57" s="59"/>
      <c r="AQ57" s="58" t="s">
        <v>230</v>
      </c>
      <c r="AR57">
        <v>10950</v>
      </c>
      <c r="AS57" s="59"/>
      <c r="BR57" s="61"/>
      <c r="BS57" s="61"/>
      <c r="BT57" s="61"/>
    </row>
    <row r="58" spans="7:45" ht="12.75">
      <c r="G58" s="64"/>
      <c r="AK58" s="59" t="s">
        <v>272</v>
      </c>
      <c r="AL58" s="59">
        <v>20.5</v>
      </c>
      <c r="AM58" s="59"/>
      <c r="AN58" s="59"/>
      <c r="AO58" s="59"/>
      <c r="AP58" s="59"/>
      <c r="AQ58" s="58" t="s">
        <v>231</v>
      </c>
      <c r="AR58">
        <v>60</v>
      </c>
      <c r="AS58" s="59"/>
    </row>
    <row r="59" spans="7:72" ht="12.75">
      <c r="G59" s="64"/>
      <c r="AK59" s="59" t="s">
        <v>273</v>
      </c>
      <c r="AL59" s="59">
        <v>3.8</v>
      </c>
      <c r="AM59" s="59"/>
      <c r="AN59" s="59"/>
      <c r="AO59" s="59"/>
      <c r="AP59" s="59"/>
      <c r="AQ59" s="64" t="s">
        <v>233</v>
      </c>
      <c r="AR59">
        <v>14</v>
      </c>
      <c r="AS59" s="59"/>
      <c r="BR59" s="61"/>
      <c r="BS59" s="61"/>
      <c r="BT59" s="61"/>
    </row>
    <row r="60" spans="7:72" ht="12.75">
      <c r="G60" s="64"/>
      <c r="AK60" s="59" t="s">
        <v>274</v>
      </c>
      <c r="AL60" s="59">
        <v>10.4</v>
      </c>
      <c r="AM60" s="59"/>
      <c r="AN60" s="59"/>
      <c r="AO60" s="59"/>
      <c r="AP60" s="59"/>
      <c r="AQ60" s="64" t="s">
        <v>238</v>
      </c>
      <c r="AR60">
        <v>2</v>
      </c>
      <c r="AS60" s="59"/>
      <c r="BR60" s="61"/>
      <c r="BS60" s="61"/>
      <c r="BT60" s="61"/>
    </row>
    <row r="61" spans="7:72" ht="12.75">
      <c r="G61" s="64"/>
      <c r="AK61" s="77" t="s">
        <v>275</v>
      </c>
      <c r="AL61" s="59">
        <v>0.001</v>
      </c>
      <c r="AM61" s="77" t="s">
        <v>276</v>
      </c>
      <c r="AN61" s="77"/>
      <c r="AO61" s="77"/>
      <c r="AP61" s="77"/>
      <c r="AQ61" s="64" t="s">
        <v>244</v>
      </c>
      <c r="AR61" s="57">
        <v>2.7E-05</v>
      </c>
      <c r="AS61" s="77"/>
      <c r="BR61" s="61"/>
      <c r="BS61" s="61"/>
      <c r="BT61" s="61"/>
    </row>
    <row r="62" spans="7:72" ht="12.75">
      <c r="G62" s="64"/>
      <c r="AK62" s="77" t="s">
        <v>277</v>
      </c>
      <c r="AL62" s="59">
        <v>0.005</v>
      </c>
      <c r="AM62" s="77" t="s">
        <v>276</v>
      </c>
      <c r="AN62" s="77"/>
      <c r="AO62" s="77"/>
      <c r="AP62" s="77"/>
      <c r="AQ62" s="64" t="s">
        <v>247</v>
      </c>
      <c r="AR62" s="57">
        <f>0+AR61</f>
        <v>2.7E-05</v>
      </c>
      <c r="AS62" s="77"/>
      <c r="BR62" s="61"/>
      <c r="BS62" s="61"/>
      <c r="BT62" s="61"/>
    </row>
    <row r="63" spans="7:72" ht="12.75">
      <c r="G63" s="64"/>
      <c r="AK63" s="59" t="s">
        <v>278</v>
      </c>
      <c r="AL63" s="59">
        <v>6.4</v>
      </c>
      <c r="AM63" s="59" t="s">
        <v>279</v>
      </c>
      <c r="AN63" s="59"/>
      <c r="AO63" s="59"/>
      <c r="AP63" s="59"/>
      <c r="AQ63" s="64" t="s">
        <v>250</v>
      </c>
      <c r="AR63" s="65">
        <f>0+(0.693/AR59)</f>
        <v>0.0495</v>
      </c>
      <c r="AS63" s="59"/>
      <c r="BR63" s="61"/>
      <c r="BS63" s="61"/>
      <c r="BT63" s="61"/>
    </row>
    <row r="64" spans="7:72" ht="12.75">
      <c r="G64" s="64"/>
      <c r="AK64" s="59" t="s">
        <v>280</v>
      </c>
      <c r="AL64" s="59">
        <v>45.8</v>
      </c>
      <c r="AM64" s="59" t="s">
        <v>279</v>
      </c>
      <c r="AN64" s="59"/>
      <c r="AO64" s="59"/>
      <c r="AP64" s="59"/>
      <c r="AQ64" s="64" t="s">
        <v>253</v>
      </c>
      <c r="AR64">
        <v>240</v>
      </c>
      <c r="AS64" s="59"/>
      <c r="BR64" s="61"/>
      <c r="BS64" s="61"/>
      <c r="BT64" s="61"/>
    </row>
    <row r="65" spans="7:45" ht="12.75">
      <c r="G65" s="64"/>
      <c r="AK65" s="59" t="s">
        <v>281</v>
      </c>
      <c r="AL65" s="59">
        <v>0.5</v>
      </c>
      <c r="AM65" s="59"/>
      <c r="AN65" s="59"/>
      <c r="AO65" s="59"/>
      <c r="AP65" s="59"/>
      <c r="AQ65" s="64" t="s">
        <v>154</v>
      </c>
      <c r="AR65" s="65">
        <f>0.26</f>
        <v>0.26</v>
      </c>
      <c r="AS65" s="59"/>
    </row>
    <row r="66" spans="7:45" ht="12.75">
      <c r="G66" s="64"/>
      <c r="AK66" s="59" t="s">
        <v>282</v>
      </c>
      <c r="AL66" s="59">
        <v>0.30000000000000004</v>
      </c>
      <c r="AM66" s="59"/>
      <c r="AN66" s="59"/>
      <c r="AO66" s="59"/>
      <c r="AP66" s="59"/>
      <c r="AQ66" s="64" t="s">
        <v>259</v>
      </c>
      <c r="AR66">
        <v>0.42</v>
      </c>
      <c r="AS66" s="59"/>
    </row>
    <row r="67" spans="7:45" ht="12.75">
      <c r="G67" s="64"/>
      <c r="AK67" s="59" t="s">
        <v>283</v>
      </c>
      <c r="AL67" s="59">
        <v>1.5</v>
      </c>
      <c r="AM67" s="59" t="s">
        <v>284</v>
      </c>
      <c r="AN67" s="59"/>
      <c r="AO67" s="59"/>
      <c r="AP67" s="59"/>
      <c r="AQ67" s="64" t="s">
        <v>263</v>
      </c>
      <c r="AR67">
        <v>1</v>
      </c>
      <c r="AS67" s="59"/>
    </row>
    <row r="68" spans="7:45" ht="12.75">
      <c r="G68" s="64"/>
      <c r="AK68" s="59" t="s">
        <v>285</v>
      </c>
      <c r="AL68" s="59">
        <f>(AL12*AL63+AL15*AL64)/AL11</f>
        <v>39.89</v>
      </c>
      <c r="AM68" s="59" t="s">
        <v>279</v>
      </c>
      <c r="AN68" s="59" t="s">
        <v>285</v>
      </c>
      <c r="AO68" s="59">
        <f>AL68</f>
        <v>39.89</v>
      </c>
      <c r="AP68" s="59" t="s">
        <v>279</v>
      </c>
      <c r="AQ68" s="59"/>
      <c r="AR68" s="59"/>
      <c r="AS68" s="59"/>
    </row>
    <row r="69" spans="7:45" ht="12.75">
      <c r="G69" s="64"/>
      <c r="AK69" s="59" t="s">
        <v>286</v>
      </c>
      <c r="AL69" s="59">
        <v>30</v>
      </c>
      <c r="AM69" s="59" t="s">
        <v>287</v>
      </c>
      <c r="AN69" s="59"/>
      <c r="AO69" s="59"/>
      <c r="AP69" s="59"/>
      <c r="AQ69" s="59" t="s">
        <v>286</v>
      </c>
      <c r="AR69" s="59">
        <v>30</v>
      </c>
      <c r="AS69" s="59"/>
    </row>
    <row r="70" spans="7:45" ht="12.75">
      <c r="G70" s="64"/>
      <c r="AK70" s="77" t="s">
        <v>288</v>
      </c>
      <c r="AL70" s="71">
        <v>5E-05</v>
      </c>
      <c r="AM70" s="59"/>
      <c r="AN70" s="59"/>
      <c r="AO70" s="59"/>
      <c r="AP70" s="59"/>
      <c r="AQ70" s="77" t="s">
        <v>288</v>
      </c>
      <c r="AR70" s="71">
        <v>5E-05</v>
      </c>
      <c r="AS70" s="59"/>
    </row>
    <row r="71" spans="7:45" ht="12.75">
      <c r="G71" s="64"/>
      <c r="AK71" s="77" t="s">
        <v>289</v>
      </c>
      <c r="AL71" s="71">
        <v>2E-06</v>
      </c>
      <c r="AM71" s="59"/>
      <c r="AN71" s="77"/>
      <c r="AO71" s="71"/>
      <c r="AP71" s="59"/>
      <c r="AQ71" s="77" t="s">
        <v>289</v>
      </c>
      <c r="AR71" s="71">
        <v>2E-06</v>
      </c>
      <c r="AS71" s="59"/>
    </row>
    <row r="72" spans="2:45" ht="12.75">
      <c r="B72" s="57"/>
      <c r="AK72" s="77" t="s">
        <v>290</v>
      </c>
      <c r="AL72" s="71">
        <v>0.00017</v>
      </c>
      <c r="AM72" s="59"/>
      <c r="AN72" s="59"/>
      <c r="AO72" s="59"/>
      <c r="AP72" s="59"/>
      <c r="AQ72" s="77" t="s">
        <v>290</v>
      </c>
      <c r="AR72" s="71">
        <v>0.00017</v>
      </c>
      <c r="AS72" s="59"/>
    </row>
    <row r="73" spans="37:45" ht="12.75">
      <c r="AK73" s="77" t="s">
        <v>291</v>
      </c>
      <c r="AL73" s="59">
        <v>0.006</v>
      </c>
      <c r="AM73" s="59"/>
      <c r="AN73" s="59"/>
      <c r="AO73" s="59"/>
      <c r="AP73" s="59"/>
      <c r="AQ73" s="77" t="s">
        <v>291</v>
      </c>
      <c r="AR73" s="59">
        <v>0.006</v>
      </c>
      <c r="AS73" s="59"/>
    </row>
    <row r="74" spans="37:45" ht="12.75">
      <c r="AK74" s="77" t="s">
        <v>292</v>
      </c>
      <c r="AL74" s="71">
        <v>0.004</v>
      </c>
      <c r="AM74" s="77" t="s">
        <v>293</v>
      </c>
      <c r="AN74" s="77"/>
      <c r="AO74" s="77"/>
      <c r="AP74" s="77"/>
      <c r="AQ74" s="77" t="s">
        <v>292</v>
      </c>
      <c r="AR74" s="71">
        <v>0.004</v>
      </c>
      <c r="AS74" s="77"/>
    </row>
    <row r="75" spans="37:45" ht="12.75">
      <c r="AK75" s="77" t="s">
        <v>294</v>
      </c>
      <c r="AL75" s="59">
        <f>(AL12*AL80+AL15*AL81)/AL11</f>
        <v>13.01</v>
      </c>
      <c r="AM75" s="59"/>
      <c r="AN75" s="59" t="str">
        <f>AK75</f>
        <v>IFE f-adj</v>
      </c>
      <c r="AO75" s="59">
        <f>AL75</f>
        <v>13.01</v>
      </c>
      <c r="AP75" s="59"/>
      <c r="AQ75" s="59"/>
      <c r="AR75" s="59"/>
      <c r="AS75" s="59"/>
    </row>
    <row r="76" spans="37:45" ht="12.75">
      <c r="AK76" s="77" t="s">
        <v>295</v>
      </c>
      <c r="AL76" s="59">
        <f>(AL12*AL82+AL15*AL83)/AL11</f>
        <v>31.179999999999996</v>
      </c>
      <c r="AM76" s="59"/>
      <c r="AN76" s="77" t="s">
        <v>295</v>
      </c>
      <c r="AO76" s="59">
        <f>AL76</f>
        <v>31.179999999999996</v>
      </c>
      <c r="AP76" s="59"/>
      <c r="AQ76" s="59"/>
      <c r="AR76" s="59"/>
      <c r="AS76" s="59"/>
    </row>
    <row r="77" spans="37:45" ht="12.75">
      <c r="AK77" s="77" t="s">
        <v>296</v>
      </c>
      <c r="AL77" s="59">
        <f>(AL12*AL84+AL15*AL85)/AL11</f>
        <v>43.37500000000001</v>
      </c>
      <c r="AM77" s="59"/>
      <c r="AN77" s="77" t="s">
        <v>296</v>
      </c>
      <c r="AO77" s="59">
        <f>AL77</f>
        <v>43.37500000000001</v>
      </c>
      <c r="AP77" s="59"/>
      <c r="AQ77" s="59"/>
      <c r="AR77" s="59"/>
      <c r="AS77" s="59"/>
    </row>
    <row r="78" spans="2:45" ht="12.75">
      <c r="B78" s="57"/>
      <c r="AK78" s="77" t="s">
        <v>297</v>
      </c>
      <c r="AL78" s="59">
        <f>(AL12*AL86+AL15*AL87)/AL11</f>
        <v>205.275</v>
      </c>
      <c r="AM78" s="59"/>
      <c r="AN78" s="77" t="s">
        <v>297</v>
      </c>
      <c r="AO78" s="59">
        <f>AL78</f>
        <v>205.275</v>
      </c>
      <c r="AP78" s="59"/>
      <c r="AQ78" s="59" t="s">
        <v>298</v>
      </c>
      <c r="AR78" s="59">
        <v>53</v>
      </c>
      <c r="AS78" s="59"/>
    </row>
    <row r="79" spans="37:45" ht="12.75">
      <c r="AK79" s="77" t="s">
        <v>299</v>
      </c>
      <c r="AL79" s="59">
        <f>(AL12*AL88+AL15*AL89)/AL11</f>
        <v>24.22</v>
      </c>
      <c r="AM79" s="59"/>
      <c r="AN79" s="77" t="s">
        <v>299</v>
      </c>
      <c r="AO79" s="59">
        <f>AL79</f>
        <v>24.22</v>
      </c>
      <c r="AP79" s="59"/>
      <c r="AQ79" s="59" t="s">
        <v>300</v>
      </c>
      <c r="AR79" s="59">
        <v>92</v>
      </c>
      <c r="AS79" s="59"/>
    </row>
    <row r="80" spans="37:45" ht="12.75">
      <c r="AK80" s="77" t="s">
        <v>301</v>
      </c>
      <c r="AL80" s="59">
        <v>2.3</v>
      </c>
      <c r="AM80" s="59"/>
      <c r="AN80" s="59"/>
      <c r="AO80" s="59"/>
      <c r="AP80" s="59"/>
      <c r="AQ80" s="59" t="s">
        <v>302</v>
      </c>
      <c r="AR80" s="59">
        <v>1</v>
      </c>
      <c r="AS80" s="59"/>
    </row>
    <row r="81" spans="37:45" ht="12.75">
      <c r="AK81" s="77" t="s">
        <v>303</v>
      </c>
      <c r="AL81" s="59">
        <v>14.9</v>
      </c>
      <c r="AM81" s="59"/>
      <c r="AN81" s="59"/>
      <c r="AO81" s="59"/>
      <c r="AP81" s="59"/>
      <c r="AQ81" s="59" t="s">
        <v>304</v>
      </c>
      <c r="AR81" s="59">
        <v>11.4</v>
      </c>
      <c r="AS81" s="59"/>
    </row>
    <row r="82" spans="37:45" ht="12.75">
      <c r="AK82" s="77" t="s">
        <v>305</v>
      </c>
      <c r="AL82" s="59">
        <v>5</v>
      </c>
      <c r="AM82" s="59"/>
      <c r="AN82" s="59"/>
      <c r="AO82" s="59"/>
      <c r="AP82" s="59"/>
      <c r="AQ82" s="59"/>
      <c r="AR82" s="59"/>
      <c r="AS82" s="59"/>
    </row>
    <row r="83" spans="37:45" ht="12.75">
      <c r="AK83" s="77" t="s">
        <v>306</v>
      </c>
      <c r="AL83" s="59">
        <v>35.8</v>
      </c>
      <c r="AM83" s="59"/>
      <c r="AN83" s="59"/>
      <c r="AO83" s="59"/>
      <c r="AP83" s="59"/>
      <c r="AQ83" s="59"/>
      <c r="AR83" s="59"/>
      <c r="AS83" s="59"/>
    </row>
    <row r="84" spans="37:45" ht="12.75">
      <c r="AK84" s="77" t="s">
        <v>307</v>
      </c>
      <c r="AL84" s="59">
        <v>4.7</v>
      </c>
      <c r="AM84" s="59"/>
      <c r="AN84" s="59"/>
      <c r="AO84" s="59"/>
      <c r="AP84" s="59"/>
      <c r="AQ84" s="59"/>
      <c r="AR84" s="59"/>
      <c r="AS84" s="59"/>
    </row>
    <row r="85" spans="37:45" ht="12.75">
      <c r="AK85" s="77" t="s">
        <v>308</v>
      </c>
      <c r="AL85" s="59">
        <v>50.2</v>
      </c>
      <c r="AM85" s="59"/>
      <c r="AN85" s="59"/>
      <c r="AO85" s="59"/>
      <c r="AP85" s="59"/>
      <c r="AQ85" s="59"/>
      <c r="AR85" s="59"/>
      <c r="AS85" s="59"/>
    </row>
    <row r="86" spans="37:45" ht="12.75">
      <c r="AK86" s="77" t="s">
        <v>309</v>
      </c>
      <c r="AL86" s="59">
        <v>96.9</v>
      </c>
      <c r="AM86" s="59"/>
      <c r="AN86" s="59"/>
      <c r="AO86" s="59"/>
      <c r="AP86" s="59"/>
      <c r="AQ86" s="59"/>
      <c r="AR86" s="59"/>
      <c r="AS86" s="59"/>
    </row>
    <row r="87" spans="37:45" ht="12.75">
      <c r="AK87" s="77" t="s">
        <v>310</v>
      </c>
      <c r="AL87" s="59">
        <v>224.4</v>
      </c>
      <c r="AM87" s="59"/>
      <c r="AN87" s="59"/>
      <c r="AO87" s="59"/>
      <c r="AP87" s="59"/>
      <c r="AQ87" s="59"/>
      <c r="AR87" s="59"/>
      <c r="AS87" s="59"/>
    </row>
    <row r="88" spans="37:45" ht="12.75">
      <c r="AK88" s="77" t="s">
        <v>311</v>
      </c>
      <c r="AL88" s="59">
        <v>4.5</v>
      </c>
      <c r="AM88" s="59"/>
      <c r="AN88" s="59"/>
      <c r="AO88" s="59"/>
      <c r="AP88" s="59"/>
      <c r="AQ88" s="59"/>
      <c r="AR88" s="59"/>
      <c r="AS88" s="59"/>
    </row>
    <row r="89" spans="37:45" ht="12.75">
      <c r="AK89" s="77" t="s">
        <v>312</v>
      </c>
      <c r="AL89" s="59">
        <v>27.7</v>
      </c>
      <c r="AM89" s="59"/>
      <c r="AN89" s="59"/>
      <c r="AO89" s="59"/>
      <c r="AP89" s="59"/>
      <c r="AQ89" s="59"/>
      <c r="AR89" s="59"/>
      <c r="AS89" s="59"/>
    </row>
    <row r="90" spans="37:45" ht="12.75">
      <c r="AK90" s="77" t="s">
        <v>313</v>
      </c>
      <c r="AL90" s="59">
        <v>0.2</v>
      </c>
      <c r="AM90" s="77" t="s">
        <v>314</v>
      </c>
      <c r="AN90" s="77"/>
      <c r="AO90" s="77"/>
      <c r="AP90" s="77"/>
      <c r="AQ90" s="77"/>
      <c r="AR90" s="77"/>
      <c r="AS90" s="77"/>
    </row>
    <row r="91" spans="37:45" ht="12.75">
      <c r="AK91" s="77" t="s">
        <v>315</v>
      </c>
      <c r="AL91" s="59">
        <v>0.022</v>
      </c>
      <c r="AM91" s="77" t="s">
        <v>314</v>
      </c>
      <c r="AN91" s="77"/>
      <c r="AO91" s="77"/>
      <c r="AP91" s="77"/>
      <c r="AQ91" s="77"/>
      <c r="AR91" s="77"/>
      <c r="AS91" s="77"/>
    </row>
    <row r="92" spans="37:45" ht="12.75">
      <c r="AK92" s="77" t="s">
        <v>316</v>
      </c>
      <c r="AL92" s="59">
        <v>53</v>
      </c>
      <c r="AM92" s="77" t="s">
        <v>65</v>
      </c>
      <c r="AN92" s="77"/>
      <c r="AO92" s="77"/>
      <c r="AP92" s="77"/>
      <c r="AQ92" s="77"/>
      <c r="AR92" s="77"/>
      <c r="AS92" s="77"/>
    </row>
    <row r="93" spans="37:45" ht="12.75">
      <c r="AK93" s="77" t="s">
        <v>317</v>
      </c>
      <c r="AL93" s="59">
        <v>11.77</v>
      </c>
      <c r="AM93" s="77" t="s">
        <v>314</v>
      </c>
      <c r="AN93" s="77"/>
      <c r="AO93" s="77"/>
      <c r="AP93" s="77"/>
      <c r="AQ93" s="77"/>
      <c r="AR93" s="77"/>
      <c r="AS93" s="77"/>
    </row>
    <row r="94" spans="37:45" ht="12.75">
      <c r="AK94" s="77" t="s">
        <v>318</v>
      </c>
      <c r="AL94" s="59">
        <v>0.39</v>
      </c>
      <c r="AM94" s="77" t="s">
        <v>314</v>
      </c>
      <c r="AN94" s="77"/>
      <c r="AO94" s="77"/>
      <c r="AP94" s="77"/>
      <c r="AQ94" s="77"/>
      <c r="AR94" s="77"/>
      <c r="AS94" s="77"/>
    </row>
    <row r="95" spans="37:45" ht="12.75">
      <c r="AK95" s="77" t="s">
        <v>319</v>
      </c>
      <c r="AL95" s="59">
        <v>92</v>
      </c>
      <c r="AM95" s="77" t="s">
        <v>65</v>
      </c>
      <c r="AN95" s="77"/>
      <c r="AO95" s="77"/>
      <c r="AP95" s="77"/>
      <c r="AQ95" s="77"/>
      <c r="AR95" s="77"/>
      <c r="AS95" s="77"/>
    </row>
    <row r="96" spans="37:45" ht="12.75">
      <c r="AK96" s="77" t="s">
        <v>320</v>
      </c>
      <c r="AL96" s="59">
        <v>16.9</v>
      </c>
      <c r="AM96" s="77" t="s">
        <v>314</v>
      </c>
      <c r="AN96" s="77"/>
      <c r="AO96" s="77"/>
      <c r="AP96" s="77"/>
      <c r="AQ96" s="77"/>
      <c r="AR96" s="77"/>
      <c r="AS96" s="77"/>
    </row>
    <row r="97" spans="37:45" ht="12.75">
      <c r="AK97" s="77" t="s">
        <v>321</v>
      </c>
      <c r="AL97" s="59">
        <v>0.41</v>
      </c>
      <c r="AM97" s="77" t="s">
        <v>314</v>
      </c>
      <c r="AN97" s="77"/>
      <c r="AO97" s="77"/>
      <c r="AP97" s="77"/>
      <c r="AQ97" s="77"/>
      <c r="AR97" s="77"/>
      <c r="AS97" s="77"/>
    </row>
    <row r="98" spans="37:45" ht="12.75">
      <c r="AK98" s="77" t="s">
        <v>322</v>
      </c>
      <c r="AL98" s="59">
        <v>11.4</v>
      </c>
      <c r="AM98" s="77" t="s">
        <v>65</v>
      </c>
      <c r="AN98" s="77"/>
      <c r="AO98" s="77"/>
      <c r="AP98" s="77"/>
      <c r="AQ98" s="77"/>
      <c r="AR98" s="77"/>
      <c r="AS98" s="77"/>
    </row>
    <row r="99" spans="37:45" ht="12.75">
      <c r="AK99" s="77" t="s">
        <v>323</v>
      </c>
      <c r="AL99" s="59">
        <v>4.7</v>
      </c>
      <c r="AM99" s="77" t="s">
        <v>314</v>
      </c>
      <c r="AN99" s="77"/>
      <c r="AO99" s="77"/>
      <c r="AP99" s="77"/>
      <c r="AQ99" s="77"/>
      <c r="AR99" s="77"/>
      <c r="AS99" s="77"/>
    </row>
    <row r="100" spans="37:45" ht="12.75">
      <c r="AK100" s="77" t="s">
        <v>324</v>
      </c>
      <c r="AL100" s="59">
        <v>0.37</v>
      </c>
      <c r="AM100" s="77" t="s">
        <v>314</v>
      </c>
      <c r="AN100" s="77"/>
      <c r="AO100" s="77"/>
      <c r="AP100" s="77"/>
      <c r="AQ100" s="77"/>
      <c r="AR100" s="77"/>
      <c r="AS100" s="77"/>
    </row>
    <row r="101" spans="37:38" ht="12.75">
      <c r="AK101" t="s">
        <v>325</v>
      </c>
      <c r="AL101">
        <v>0.26</v>
      </c>
    </row>
    <row r="102" spans="37:38" ht="12.75">
      <c r="AK102" t="s">
        <v>326</v>
      </c>
      <c r="AL102">
        <v>0.25</v>
      </c>
    </row>
    <row r="104" spans="37:38" ht="12.75">
      <c r="AK104" t="s">
        <v>327</v>
      </c>
      <c r="AL104">
        <v>1</v>
      </c>
    </row>
    <row r="105" spans="37:38" ht="12.75">
      <c r="AK105" t="s">
        <v>328</v>
      </c>
      <c r="AL105">
        <v>1</v>
      </c>
    </row>
    <row r="106" spans="37:38" ht="12.75">
      <c r="AK106" t="s">
        <v>329</v>
      </c>
      <c r="AL106">
        <v>1</v>
      </c>
    </row>
    <row r="107" spans="37:38" ht="12.75">
      <c r="AK107" t="s">
        <v>330</v>
      </c>
      <c r="AL107">
        <v>1</v>
      </c>
    </row>
    <row r="108" spans="37:38" ht="12.75">
      <c r="AK108" t="s">
        <v>331</v>
      </c>
      <c r="AL108">
        <v>1</v>
      </c>
    </row>
    <row r="109" spans="37:38" ht="12.75">
      <c r="AK109" t="s">
        <v>332</v>
      </c>
      <c r="AL109">
        <v>1</v>
      </c>
    </row>
    <row r="110" spans="37:38" ht="12.75">
      <c r="AK110" t="s">
        <v>333</v>
      </c>
      <c r="AL110">
        <v>1</v>
      </c>
    </row>
    <row r="111" spans="37:38" ht="12.75">
      <c r="AK111" t="s">
        <v>334</v>
      </c>
      <c r="AL111">
        <v>1</v>
      </c>
    </row>
    <row r="112" spans="37:38" ht="12.75">
      <c r="AK112" t="s">
        <v>335</v>
      </c>
      <c r="AL112">
        <v>1</v>
      </c>
    </row>
    <row r="113" spans="37:38" ht="12.75">
      <c r="AK113" t="s">
        <v>336</v>
      </c>
      <c r="AL113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9.00390625" style="0" customWidth="1"/>
    <col min="4" max="4" width="8.57421875" style="0" customWidth="1"/>
    <col min="5" max="5" width="9.7109375" style="0" customWidth="1"/>
    <col min="6" max="6" width="16.8515625" style="0" customWidth="1"/>
    <col min="7" max="7" width="9.00390625" style="0" customWidth="1"/>
    <col min="8" max="8" width="8.421875" style="0" customWidth="1"/>
    <col min="9" max="9" width="10.421875" style="0" customWidth="1"/>
    <col min="10" max="10" width="13.7109375" style="0" customWidth="1"/>
    <col min="11" max="13" width="8.57421875" style="0" customWidth="1"/>
    <col min="14" max="14" width="12.00390625" style="0" customWidth="1"/>
    <col min="15" max="15" width="14.28125" style="0" customWidth="1"/>
    <col min="16" max="16" width="8.140625" style="0" customWidth="1"/>
    <col min="17" max="17" width="11.28125" style="0" customWidth="1"/>
    <col min="18" max="18" width="12.421875" style="0" customWidth="1"/>
    <col min="19" max="19" width="8.140625" style="0" customWidth="1"/>
    <col min="20" max="20" width="13.8515625" style="0" customWidth="1"/>
    <col min="21" max="21" width="14.28125" style="0" customWidth="1"/>
    <col min="22" max="22" width="8.140625" style="0" customWidth="1"/>
    <col min="23" max="23" width="15.00390625" style="0" customWidth="1"/>
    <col min="24" max="24" width="14.28125" style="0" customWidth="1"/>
    <col min="25" max="25" width="8.140625" style="0" customWidth="1"/>
    <col min="26" max="26" width="17.421875" style="0" customWidth="1"/>
    <col min="27" max="27" width="14.28125" style="0" customWidth="1"/>
    <col min="28" max="28" width="13.57421875" style="0" customWidth="1"/>
    <col min="29" max="37" width="11.00390625" style="0" customWidth="1"/>
    <col min="38" max="38" width="12.00390625" style="0" customWidth="1"/>
    <col min="39" max="39" width="16.00390625" style="0" customWidth="1"/>
    <col min="40" max="46" width="10.421875" style="0" customWidth="1"/>
    <col min="47" max="47" width="10.140625" style="0" customWidth="1"/>
    <col min="48" max="48" width="15.421875" style="0" customWidth="1"/>
    <col min="49" max="49" width="10.421875" style="0" customWidth="1"/>
    <col min="50" max="50" width="11.57421875" style="0" customWidth="1"/>
    <col min="51" max="51" width="15.421875" style="0" customWidth="1"/>
    <col min="52" max="53" width="10.421875" style="0" customWidth="1"/>
    <col min="54" max="54" width="14.421875" style="0" customWidth="1"/>
    <col min="55" max="55" width="10.421875" style="0" customWidth="1"/>
    <col min="56" max="56" width="14.00390625" style="0" customWidth="1"/>
    <col min="57" max="58" width="10.421875" style="0" customWidth="1"/>
    <col min="59" max="59" width="10.140625" style="0" customWidth="1"/>
    <col min="60" max="60" width="15.421875" style="0" customWidth="1"/>
    <col min="61" max="61" width="10.421875" style="0" customWidth="1"/>
    <col min="62" max="62" width="11.57421875" style="0" customWidth="1"/>
    <col min="63" max="63" width="15.421875" style="0" customWidth="1"/>
    <col min="64" max="64" width="10.421875" style="0" customWidth="1"/>
    <col min="65" max="65" width="10.140625" style="0" customWidth="1"/>
    <col min="66" max="66" width="15.421875" style="0" customWidth="1"/>
    <col min="67" max="67" width="10.421875" style="0" customWidth="1"/>
    <col min="68" max="68" width="11.57421875" style="0" customWidth="1"/>
    <col min="69" max="69" width="15.421875" style="0" customWidth="1"/>
    <col min="70" max="70" width="9.57421875" style="0" customWidth="1"/>
    <col min="71" max="71" width="10.140625" style="0" customWidth="1"/>
    <col min="72" max="72" width="17.28125" style="0" customWidth="1"/>
    <col min="73" max="73" width="9.57421875" style="0" customWidth="1"/>
    <col min="74" max="74" width="11.57421875" style="0" customWidth="1"/>
    <col min="75" max="75" width="17.28125" style="0" customWidth="1"/>
    <col min="76" max="76" width="10.28125" style="0" customWidth="1"/>
    <col min="78" max="78" width="12.57421875" style="0" customWidth="1"/>
    <col min="83" max="83" width="11.00390625" style="0" customWidth="1"/>
  </cols>
  <sheetData>
    <row r="1" spans="1:78" ht="12.75">
      <c r="A1" s="1" t="s">
        <v>0</v>
      </c>
      <c r="B1" s="1"/>
      <c r="C1" s="1" t="s">
        <v>337</v>
      </c>
      <c r="D1" s="2" t="s">
        <v>2</v>
      </c>
      <c r="E1" s="2" t="s">
        <v>3</v>
      </c>
      <c r="F1" s="2" t="s">
        <v>337</v>
      </c>
      <c r="G1" s="3" t="s">
        <v>0</v>
      </c>
      <c r="H1" s="3"/>
      <c r="I1" s="3" t="s">
        <v>337</v>
      </c>
      <c r="J1" s="4" t="s">
        <v>4</v>
      </c>
      <c r="K1" s="4"/>
      <c r="L1" s="4" t="s">
        <v>337</v>
      </c>
      <c r="M1" s="5" t="s">
        <v>0</v>
      </c>
      <c r="N1" s="5"/>
      <c r="O1" s="5" t="s">
        <v>337</v>
      </c>
      <c r="P1" s="6" t="s">
        <v>4</v>
      </c>
      <c r="Q1" s="6"/>
      <c r="R1" s="6" t="s">
        <v>337</v>
      </c>
      <c r="S1" s="7" t="s">
        <v>2</v>
      </c>
      <c r="T1" s="8" t="s">
        <v>5</v>
      </c>
      <c r="U1" s="9" t="s">
        <v>337</v>
      </c>
      <c r="V1" s="7" t="s">
        <v>2</v>
      </c>
      <c r="W1" s="8" t="s">
        <v>6</v>
      </c>
      <c r="X1" s="9" t="s">
        <v>337</v>
      </c>
      <c r="Y1" s="7" t="s">
        <v>2</v>
      </c>
      <c r="Z1" s="8" t="s">
        <v>7</v>
      </c>
      <c r="AA1" s="9" t="s">
        <v>337</v>
      </c>
      <c r="AB1" s="10" t="s">
        <v>8</v>
      </c>
      <c r="AC1" s="10"/>
      <c r="AD1" s="10" t="s">
        <v>337</v>
      </c>
      <c r="AE1" s="11" t="s">
        <v>8</v>
      </c>
      <c r="AF1" s="11"/>
      <c r="AG1" s="11" t="s">
        <v>337</v>
      </c>
      <c r="AH1" s="12" t="s">
        <v>8</v>
      </c>
      <c r="AI1" s="12"/>
      <c r="AJ1" s="12" t="s">
        <v>337</v>
      </c>
      <c r="AK1" s="13" t="s">
        <v>9</v>
      </c>
      <c r="AL1" s="14"/>
      <c r="AM1" s="14" t="s">
        <v>337</v>
      </c>
      <c r="AN1" s="15" t="s">
        <v>9</v>
      </c>
      <c r="AO1" s="15"/>
      <c r="AP1" s="15" t="s">
        <v>337</v>
      </c>
      <c r="AQ1" s="16" t="s">
        <v>9</v>
      </c>
      <c r="AR1" s="16"/>
      <c r="AS1" s="16" t="s">
        <v>337</v>
      </c>
      <c r="AT1" s="17" t="s">
        <v>10</v>
      </c>
      <c r="AU1" s="17" t="s">
        <v>11</v>
      </c>
      <c r="AV1" s="17" t="s">
        <v>337</v>
      </c>
      <c r="AW1" s="17" t="s">
        <v>10</v>
      </c>
      <c r="AX1" s="17" t="s">
        <v>12</v>
      </c>
      <c r="AY1" s="17" t="s">
        <v>337</v>
      </c>
      <c r="AZ1" s="5" t="s">
        <v>10</v>
      </c>
      <c r="BA1" s="5" t="s">
        <v>11</v>
      </c>
      <c r="BB1" s="5" t="s">
        <v>337</v>
      </c>
      <c r="BC1" s="5" t="s">
        <v>10</v>
      </c>
      <c r="BD1" s="5" t="s">
        <v>13</v>
      </c>
      <c r="BE1" s="5" t="s">
        <v>337</v>
      </c>
      <c r="BF1" s="18" t="s">
        <v>10</v>
      </c>
      <c r="BG1" s="18" t="s">
        <v>11</v>
      </c>
      <c r="BH1" s="18" t="s">
        <v>337</v>
      </c>
      <c r="BI1" s="18" t="s">
        <v>10</v>
      </c>
      <c r="BJ1" s="18" t="s">
        <v>12</v>
      </c>
      <c r="BK1" s="18" t="s">
        <v>337</v>
      </c>
      <c r="BL1" s="19" t="s">
        <v>10</v>
      </c>
      <c r="BM1" s="19" t="s">
        <v>11</v>
      </c>
      <c r="BN1" s="19" t="s">
        <v>337</v>
      </c>
      <c r="BO1" s="19" t="s">
        <v>10</v>
      </c>
      <c r="BP1" s="19" t="s">
        <v>12</v>
      </c>
      <c r="BQ1" s="19" t="s">
        <v>337</v>
      </c>
      <c r="BR1" s="20" t="s">
        <v>10</v>
      </c>
      <c r="BS1" s="20" t="s">
        <v>11</v>
      </c>
      <c r="BT1" s="20" t="s">
        <v>337</v>
      </c>
      <c r="BU1" s="20" t="s">
        <v>10</v>
      </c>
      <c r="BV1" s="20" t="s">
        <v>12</v>
      </c>
      <c r="BW1" s="20" t="s">
        <v>337</v>
      </c>
      <c r="BX1" s="21" t="s">
        <v>14</v>
      </c>
      <c r="BY1" s="21" t="s">
        <v>337</v>
      </c>
      <c r="BZ1" s="21" t="s">
        <v>15</v>
      </c>
    </row>
    <row r="2" spans="1:78" ht="12.75">
      <c r="A2" s="1" t="s">
        <v>16</v>
      </c>
      <c r="B2" s="1" t="s">
        <v>14</v>
      </c>
      <c r="C2" s="1" t="s">
        <v>17</v>
      </c>
      <c r="D2" s="2" t="s">
        <v>16</v>
      </c>
      <c r="E2" s="2" t="s">
        <v>14</v>
      </c>
      <c r="F2" s="2" t="s">
        <v>17</v>
      </c>
      <c r="G2" s="3" t="s">
        <v>18</v>
      </c>
      <c r="H2" s="3" t="s">
        <v>14</v>
      </c>
      <c r="I2" s="3" t="s">
        <v>19</v>
      </c>
      <c r="J2" s="4" t="s">
        <v>20</v>
      </c>
      <c r="K2" s="4" t="s">
        <v>14</v>
      </c>
      <c r="L2" s="4" t="s">
        <v>19</v>
      </c>
      <c r="M2" s="5" t="s">
        <v>21</v>
      </c>
      <c r="N2" s="5" t="s">
        <v>14</v>
      </c>
      <c r="O2" s="5" t="s">
        <v>22</v>
      </c>
      <c r="P2" s="6" t="s">
        <v>21</v>
      </c>
      <c r="Q2" s="6" t="s">
        <v>14</v>
      </c>
      <c r="R2" s="6" t="s">
        <v>22</v>
      </c>
      <c r="S2" s="22" t="s">
        <v>21</v>
      </c>
      <c r="T2" s="23" t="s">
        <v>14</v>
      </c>
      <c r="U2" s="24" t="s">
        <v>22</v>
      </c>
      <c r="V2" s="22" t="s">
        <v>21</v>
      </c>
      <c r="W2" s="23" t="s">
        <v>14</v>
      </c>
      <c r="X2" s="24" t="s">
        <v>22</v>
      </c>
      <c r="Y2" s="22" t="s">
        <v>21</v>
      </c>
      <c r="Z2" s="23" t="s">
        <v>14</v>
      </c>
      <c r="AA2" s="24" t="s">
        <v>22</v>
      </c>
      <c r="AB2" s="10" t="s">
        <v>23</v>
      </c>
      <c r="AC2" s="10"/>
      <c r="AD2" s="10"/>
      <c r="AE2" s="11" t="s">
        <v>24</v>
      </c>
      <c r="AF2" s="11"/>
      <c r="AG2" s="11"/>
      <c r="AH2" s="12" t="s">
        <v>25</v>
      </c>
      <c r="AI2" s="12"/>
      <c r="AJ2" s="12"/>
      <c r="AK2" s="14" t="s">
        <v>26</v>
      </c>
      <c r="AL2" s="14" t="s">
        <v>14</v>
      </c>
      <c r="AM2" s="14" t="s">
        <v>22</v>
      </c>
      <c r="AN2" s="15" t="s">
        <v>27</v>
      </c>
      <c r="AO2" s="15"/>
      <c r="AP2" s="15"/>
      <c r="AQ2" s="16" t="s">
        <v>28</v>
      </c>
      <c r="AR2" s="16" t="s">
        <v>14</v>
      </c>
      <c r="AS2" s="16" t="s">
        <v>22</v>
      </c>
      <c r="AT2" s="25"/>
      <c r="AU2" s="17" t="s">
        <v>29</v>
      </c>
      <c r="AV2" s="26" t="s">
        <v>22</v>
      </c>
      <c r="AW2" s="25"/>
      <c r="AX2" s="17" t="s">
        <v>29</v>
      </c>
      <c r="AY2" s="26" t="s">
        <v>22</v>
      </c>
      <c r="AZ2" s="27"/>
      <c r="BA2" s="5" t="s">
        <v>8</v>
      </c>
      <c r="BB2" s="27" t="s">
        <v>22</v>
      </c>
      <c r="BC2" s="27"/>
      <c r="BD2" s="5" t="s">
        <v>8</v>
      </c>
      <c r="BE2" s="27" t="s">
        <v>22</v>
      </c>
      <c r="BF2" s="18" t="s">
        <v>5</v>
      </c>
      <c r="BG2" s="18" t="s">
        <v>30</v>
      </c>
      <c r="BH2" s="28" t="s">
        <v>22</v>
      </c>
      <c r="BI2" s="18" t="s">
        <v>5</v>
      </c>
      <c r="BJ2" s="18" t="s">
        <v>30</v>
      </c>
      <c r="BK2" s="28" t="s">
        <v>22</v>
      </c>
      <c r="BL2" s="19" t="s">
        <v>3</v>
      </c>
      <c r="BM2" s="19" t="s">
        <v>30</v>
      </c>
      <c r="BN2" s="29" t="s">
        <v>22</v>
      </c>
      <c r="BO2" s="19" t="s">
        <v>3</v>
      </c>
      <c r="BP2" s="19" t="s">
        <v>30</v>
      </c>
      <c r="BQ2" s="29" t="s">
        <v>22</v>
      </c>
      <c r="BR2" s="20" t="s">
        <v>31</v>
      </c>
      <c r="BS2" s="20" t="s">
        <v>30</v>
      </c>
      <c r="BT2" s="30" t="s">
        <v>22</v>
      </c>
      <c r="BU2" s="20" t="s">
        <v>31</v>
      </c>
      <c r="BV2" s="20" t="s">
        <v>30</v>
      </c>
      <c r="BW2" s="30" t="s">
        <v>22</v>
      </c>
      <c r="BX2" s="21" t="s">
        <v>22</v>
      </c>
      <c r="BY2" s="21" t="s">
        <v>29</v>
      </c>
      <c r="BZ2" s="21" t="s">
        <v>32</v>
      </c>
    </row>
    <row r="3" spans="1:78" ht="12.75">
      <c r="A3" s="1" t="s">
        <v>33</v>
      </c>
      <c r="B3" s="31">
        <f>1/((1/B19)+(1/B20))</f>
        <v>0.4314336658918591</v>
      </c>
      <c r="C3" s="32" t="s">
        <v>34</v>
      </c>
      <c r="D3" s="2" t="s">
        <v>35</v>
      </c>
      <c r="E3" s="33">
        <f>1/((1/E17)+(1/E18))</f>
        <v>0.974361382727591</v>
      </c>
      <c r="F3" s="34" t="s">
        <v>34</v>
      </c>
      <c r="G3" s="3"/>
      <c r="H3" s="35">
        <f>1/((1/H30)+(1/H32)+(1/H33))</f>
        <v>1.4766773108983429</v>
      </c>
      <c r="I3" s="36" t="s">
        <v>34</v>
      </c>
      <c r="J3" s="37"/>
      <c r="K3" s="38">
        <f>1/((1/K16)+(1/K17))</f>
        <v>0.783177552165901</v>
      </c>
      <c r="L3" s="37" t="s">
        <v>34</v>
      </c>
      <c r="M3" s="5"/>
      <c r="N3" s="39">
        <f>1/((1/N40)+(1/N41)+(1/N42)+(1/N43))</f>
        <v>0.05492976942361599</v>
      </c>
      <c r="O3" s="27" t="s">
        <v>34</v>
      </c>
      <c r="P3" s="40"/>
      <c r="Q3" s="98">
        <f>1/((1/Q40)+(1/Q41)+(1/Q42))</f>
        <v>0.32178974090736995</v>
      </c>
      <c r="R3" s="40" t="s">
        <v>34</v>
      </c>
      <c r="S3" s="22"/>
      <c r="T3" s="41">
        <f>1/((1/T25)+(1/T26)+(1/T27))</f>
        <v>0.2583329594923599</v>
      </c>
      <c r="U3" s="42" t="s">
        <v>34</v>
      </c>
      <c r="V3" s="22"/>
      <c r="W3" s="41">
        <f>1/((1/W25)+(1/W26)+(1/W27))</f>
        <v>0.11485932164640818</v>
      </c>
      <c r="X3" s="42" t="s">
        <v>34</v>
      </c>
      <c r="Y3" s="22"/>
      <c r="Z3" s="41">
        <f>1/((1/Z25)+(1/Z26)+(1/Z27))</f>
        <v>0.10337338948176737</v>
      </c>
      <c r="AA3" s="42" t="s">
        <v>34</v>
      </c>
      <c r="AB3" s="43"/>
      <c r="AC3" s="43"/>
      <c r="AD3" s="43"/>
      <c r="AE3" s="44"/>
      <c r="AF3" s="44"/>
      <c r="AG3" s="44"/>
      <c r="AH3" s="45"/>
      <c r="AI3" s="45"/>
      <c r="AJ3" s="45"/>
      <c r="AK3" s="14"/>
      <c r="AL3" s="46">
        <f>1/((1/AL40)+(1/AL41)+(1/AL42)+(1/AL43)+(1/AL44)+(1/AL45)+(1/AL46)+(1/AL47)+(1/AL48)+(1/AL49))</f>
        <v>0.006634632112850093</v>
      </c>
      <c r="AM3" s="47" t="s">
        <v>34</v>
      </c>
      <c r="AN3" s="48"/>
      <c r="AO3" s="48"/>
      <c r="AP3" s="48"/>
      <c r="AQ3" s="49"/>
      <c r="AR3" s="50">
        <f>1/((1/AR43)+(1/AR44)+(1/AR45)+(1/AR46)+(1/AR47)+(1/AR48)+(1/AR49))</f>
        <v>0.008629523542799502</v>
      </c>
      <c r="AS3" s="49"/>
      <c r="AT3" s="17" t="s">
        <v>36</v>
      </c>
      <c r="AU3" s="25">
        <f>(AU5*AU6*AU7)/((1-EXP(-AU7*AU6))*AU9*AU14*(AU8/365)*AU12*((AU13)+(AU15*AU10)))</f>
        <v>0.06248421977303223</v>
      </c>
      <c r="AV3" s="26" t="s">
        <v>34</v>
      </c>
      <c r="AW3" s="17" t="s">
        <v>36</v>
      </c>
      <c r="AX3" s="25">
        <f>(AX5*AX6*AX7)/((1-EXP(-AX7*AX6))*AX9*AX14*(AX8/365)*AX12*((AX13)+(AX15*AX10)))</f>
        <v>0.06991626353458234</v>
      </c>
      <c r="AY3" s="26" t="s">
        <v>34</v>
      </c>
      <c r="AZ3" s="5" t="s">
        <v>36</v>
      </c>
      <c r="BA3" s="39">
        <f>(BA5*BA6*BA7)/(BA9*(1-EXP(-BA7*BA6))*BA14*(BA8/365)*BA12*BA13/24*BA11)</f>
        <v>0.3252222231174281</v>
      </c>
      <c r="BB3" s="27" t="s">
        <v>34</v>
      </c>
      <c r="BC3" s="5" t="s">
        <v>36</v>
      </c>
      <c r="BD3" s="39">
        <f>(BD5*BD6*BD7)/(BD9*(1-EXP(-BD7*BD6))*BD14*(BD8/365)*BD12*BD13/24*BD11)</f>
        <v>0.3639050426071662</v>
      </c>
      <c r="BE3" s="27" t="s">
        <v>34</v>
      </c>
      <c r="BF3" s="18" t="s">
        <v>36</v>
      </c>
      <c r="BG3" s="51">
        <f>(BG5*BG6*BG7)/((1-EXP(-BG7*BG6))*BG9*BG14*(BG8/365)*BG12*(BG15/24)*BG10)</f>
        <v>0.25883620261856</v>
      </c>
      <c r="BH3" s="28" t="s">
        <v>34</v>
      </c>
      <c r="BI3" s="18" t="s">
        <v>36</v>
      </c>
      <c r="BJ3" s="51">
        <f>(BJ5*BJ6*BJ7)/((1-EXP(-BJ7*BJ6))*BJ9*BJ14*(BJ8/365)*BJ12*(BJ15/24)*BJ10)</f>
        <v>0.2896228875115164</v>
      </c>
      <c r="BK3" s="28" t="s">
        <v>34</v>
      </c>
      <c r="BL3" s="19" t="s">
        <v>36</v>
      </c>
      <c r="BM3" s="52">
        <f>(BM5*BM6*BM7)/((1-EXP(-BM7*BM6))*BM9*BM14*(BM8/365)*BM12*(BM15/24)*BM11)</f>
        <v>0.11503831227491554</v>
      </c>
      <c r="BN3" s="29" t="s">
        <v>34</v>
      </c>
      <c r="BO3" s="19" t="s">
        <v>36</v>
      </c>
      <c r="BP3" s="52">
        <f>(BP5*BP6*BP7)/((1-EXP(-BP7*BP6))*BP9*BP14*(BP8/365)*BP12*(BP15/24)*BP11)</f>
        <v>0.12872128333845176</v>
      </c>
      <c r="BQ3" s="29" t="s">
        <v>34</v>
      </c>
      <c r="BR3" s="20"/>
      <c r="BS3" s="53">
        <f>(BS5*BS6*BS7)/((1-EXP(-BS7*BS6))*BS9*BS14*(BS8/365)*BS12*(BS15/24)*BS11)</f>
        <v>0.103534481047424</v>
      </c>
      <c r="BT3" s="30" t="s">
        <v>34</v>
      </c>
      <c r="BU3" s="20"/>
      <c r="BV3" s="53">
        <f>(BV5*BV6*BV7)/((1-EXP(-BV7*BV6))*BV9*BV14*(BV8/365)*BV12*(BV15/24)*BV11)</f>
        <v>0.11584915500460657</v>
      </c>
      <c r="BW3" s="30" t="s">
        <v>34</v>
      </c>
      <c r="BX3" s="54">
        <f>(BY5*BY11*0.001*(BY12+(BY8/BY9)))*((BY10*BY7)/(1-EXP(-BY7*BY10)))</f>
        <v>56.55712472188904</v>
      </c>
      <c r="BY3" s="55" t="s">
        <v>34</v>
      </c>
      <c r="BZ3" s="21" t="s">
        <v>37</v>
      </c>
    </row>
    <row r="4" spans="1:78" ht="12.75">
      <c r="A4" s="1" t="s">
        <v>35</v>
      </c>
      <c r="B4" s="31">
        <f>1/((1/B21)+(1/B22))</f>
        <v>0.5980550894869529</v>
      </c>
      <c r="C4" s="32" t="s">
        <v>34</v>
      </c>
      <c r="D4" s="2" t="s">
        <v>33</v>
      </c>
      <c r="E4" s="33">
        <f>1/((1/E15)+(1/E16))</f>
        <v>0.7401774397972117</v>
      </c>
      <c r="F4" s="34" t="s">
        <v>34</v>
      </c>
      <c r="G4" s="3"/>
      <c r="H4" s="35"/>
      <c r="I4" s="36"/>
      <c r="J4" s="37"/>
      <c r="K4" s="37"/>
      <c r="L4" s="37"/>
      <c r="M4" s="5" t="s">
        <v>337</v>
      </c>
      <c r="N4" s="39" t="s">
        <v>29</v>
      </c>
      <c r="O4" s="27"/>
      <c r="P4" s="40"/>
      <c r="Q4" s="40"/>
      <c r="R4" s="40"/>
      <c r="S4" s="22" t="s">
        <v>337</v>
      </c>
      <c r="T4" s="41" t="s">
        <v>38</v>
      </c>
      <c r="U4" s="42"/>
      <c r="V4" s="22" t="s">
        <v>337</v>
      </c>
      <c r="W4" s="41" t="s">
        <v>39</v>
      </c>
      <c r="X4" s="42"/>
      <c r="Y4" s="22" t="s">
        <v>337</v>
      </c>
      <c r="Z4" s="41" t="s">
        <v>7</v>
      </c>
      <c r="AA4" s="42"/>
      <c r="AB4" s="10" t="s">
        <v>337</v>
      </c>
      <c r="AC4" s="43" t="s">
        <v>4</v>
      </c>
      <c r="AD4" s="43"/>
      <c r="AE4" s="11" t="s">
        <v>337</v>
      </c>
      <c r="AF4" s="44" t="s">
        <v>4</v>
      </c>
      <c r="AG4" s="44"/>
      <c r="AH4" s="45"/>
      <c r="AI4" s="45" t="s">
        <v>4</v>
      </c>
      <c r="AJ4" s="45"/>
      <c r="AK4" s="14" t="s">
        <v>337</v>
      </c>
      <c r="AL4" s="46" t="s">
        <v>40</v>
      </c>
      <c r="AM4" s="47"/>
      <c r="AN4" s="15" t="s">
        <v>337</v>
      </c>
      <c r="AO4" s="48"/>
      <c r="AP4" s="48"/>
      <c r="AQ4" s="16" t="s">
        <v>337</v>
      </c>
      <c r="AR4" s="49" t="s">
        <v>40</v>
      </c>
      <c r="AS4" s="49"/>
      <c r="AT4" s="17" t="s">
        <v>41</v>
      </c>
      <c r="AU4" s="25"/>
      <c r="AV4" s="26"/>
      <c r="AW4" s="17" t="s">
        <v>41</v>
      </c>
      <c r="AX4" s="25"/>
      <c r="AY4" s="26"/>
      <c r="AZ4" s="5" t="s">
        <v>41</v>
      </c>
      <c r="BA4" s="27"/>
      <c r="BB4" s="27"/>
      <c r="BC4" s="5" t="s">
        <v>41</v>
      </c>
      <c r="BD4" s="27"/>
      <c r="BE4" s="27"/>
      <c r="BF4" s="18" t="s">
        <v>41</v>
      </c>
      <c r="BG4" s="51"/>
      <c r="BH4" s="28"/>
      <c r="BI4" s="18" t="s">
        <v>41</v>
      </c>
      <c r="BJ4" s="51"/>
      <c r="BK4" s="28"/>
      <c r="BL4" s="19" t="s">
        <v>41</v>
      </c>
      <c r="BM4" s="52"/>
      <c r="BN4" s="29"/>
      <c r="BO4" s="19" t="s">
        <v>41</v>
      </c>
      <c r="BP4" s="52"/>
      <c r="BQ4" s="29"/>
      <c r="BR4" s="20" t="s">
        <v>41</v>
      </c>
      <c r="BS4" s="56"/>
      <c r="BT4" s="30"/>
      <c r="BU4" s="20" t="s">
        <v>41</v>
      </c>
      <c r="BV4" s="56"/>
      <c r="BW4" s="30"/>
      <c r="BX4" s="54">
        <f>(BY6*BY11*10^-3*(BY12+(BY8/BY9)))*((BY10*BY7)/(1-EXP(-BY7*BY10)))</f>
        <v>0.4175831142323065</v>
      </c>
      <c r="BY4" s="55" t="s">
        <v>34</v>
      </c>
      <c r="BZ4" s="21" t="s">
        <v>42</v>
      </c>
    </row>
    <row r="5" spans="1:78" ht="12.75">
      <c r="A5" t="s">
        <v>43</v>
      </c>
      <c r="B5" s="57">
        <v>1E-06</v>
      </c>
      <c r="D5" t="s">
        <v>43</v>
      </c>
      <c r="E5" s="57">
        <v>1E-06</v>
      </c>
      <c r="G5" s="58" t="s">
        <v>43</v>
      </c>
      <c r="H5" s="57">
        <v>1E-06</v>
      </c>
      <c r="J5" s="58" t="s">
        <v>43</v>
      </c>
      <c r="K5" s="57">
        <v>1E-06</v>
      </c>
      <c r="M5" s="58" t="s">
        <v>43</v>
      </c>
      <c r="N5" s="57">
        <v>1E-06</v>
      </c>
      <c r="P5" s="58" t="s">
        <v>43</v>
      </c>
      <c r="Q5" s="57">
        <v>1E-06</v>
      </c>
      <c r="S5" s="58" t="s">
        <v>43</v>
      </c>
      <c r="T5" s="57">
        <v>1E-06</v>
      </c>
      <c r="V5" s="58" t="s">
        <v>43</v>
      </c>
      <c r="W5" s="57">
        <v>1E-06</v>
      </c>
      <c r="Y5" s="58" t="s">
        <v>43</v>
      </c>
      <c r="Z5" s="57">
        <v>1E-06</v>
      </c>
      <c r="AB5" s="58" t="s">
        <v>43</v>
      </c>
      <c r="AC5" s="57">
        <v>1E-06</v>
      </c>
      <c r="AE5" t="s">
        <v>44</v>
      </c>
      <c r="AF5" s="57">
        <f>0.03</f>
        <v>0.03</v>
      </c>
      <c r="AH5" t="s">
        <v>44</v>
      </c>
      <c r="AI5" s="57">
        <f>AF5</f>
        <v>0.03</v>
      </c>
      <c r="AK5" s="58" t="s">
        <v>43</v>
      </c>
      <c r="AL5" s="57">
        <v>1E-06</v>
      </c>
      <c r="AM5" s="59"/>
      <c r="AN5" s="58" t="s">
        <v>43</v>
      </c>
      <c r="AO5" s="57">
        <v>1E-06</v>
      </c>
      <c r="AP5" s="59"/>
      <c r="AQ5" s="58" t="s">
        <v>43</v>
      </c>
      <c r="AR5" s="57">
        <v>1E-06</v>
      </c>
      <c r="AS5" s="59"/>
      <c r="AT5" t="s">
        <v>43</v>
      </c>
      <c r="AU5" s="57">
        <v>1E-06</v>
      </c>
      <c r="AW5" t="s">
        <v>43</v>
      </c>
      <c r="AX5" s="57">
        <v>1E-06</v>
      </c>
      <c r="AZ5" t="s">
        <v>43</v>
      </c>
      <c r="BA5" s="57">
        <v>1E-06</v>
      </c>
      <c r="BC5" t="s">
        <v>43</v>
      </c>
      <c r="BD5" s="57">
        <v>1E-06</v>
      </c>
      <c r="BF5" t="s">
        <v>43</v>
      </c>
      <c r="BG5" s="57">
        <v>1E-06</v>
      </c>
      <c r="BI5" t="s">
        <v>43</v>
      </c>
      <c r="BJ5" s="57">
        <v>1E-06</v>
      </c>
      <c r="BL5" t="s">
        <v>43</v>
      </c>
      <c r="BM5" s="57">
        <v>1E-06</v>
      </c>
      <c r="BO5" t="s">
        <v>43</v>
      </c>
      <c r="BP5" s="57">
        <v>1E-06</v>
      </c>
      <c r="BR5" t="s">
        <v>43</v>
      </c>
      <c r="BS5" s="57">
        <v>1E-06</v>
      </c>
      <c r="BU5" t="s">
        <v>43</v>
      </c>
      <c r="BV5" s="57">
        <v>1E-06</v>
      </c>
      <c r="BX5" s="60" t="s">
        <v>45</v>
      </c>
      <c r="BY5" s="99">
        <v>200</v>
      </c>
      <c r="BZ5" s="62" t="s">
        <v>19</v>
      </c>
    </row>
    <row r="6" spans="1:84" ht="12.75">
      <c r="A6" s="58" t="s">
        <v>46</v>
      </c>
      <c r="B6" s="57">
        <v>0.023100000000000002</v>
      </c>
      <c r="D6" s="58" t="s">
        <v>46</v>
      </c>
      <c r="E6" s="57">
        <f>0.0231</f>
        <v>0.023100000000000002</v>
      </c>
      <c r="G6" s="58" t="s">
        <v>47</v>
      </c>
      <c r="H6" s="63">
        <v>350</v>
      </c>
      <c r="I6" s="58" t="s">
        <v>48</v>
      </c>
      <c r="J6" s="58" t="s">
        <v>47</v>
      </c>
      <c r="K6" s="63">
        <v>350</v>
      </c>
      <c r="L6" s="58" t="s">
        <v>48</v>
      </c>
      <c r="M6" s="64"/>
      <c r="N6" s="65">
        <v>1000</v>
      </c>
      <c r="O6" t="s">
        <v>49</v>
      </c>
      <c r="S6" s="64"/>
      <c r="T6" s="65">
        <v>1000</v>
      </c>
      <c r="U6" t="s">
        <v>49</v>
      </c>
      <c r="V6" s="64"/>
      <c r="W6" s="65">
        <v>1000</v>
      </c>
      <c r="X6" t="s">
        <v>49</v>
      </c>
      <c r="Y6" s="64"/>
      <c r="Z6" s="65">
        <v>1000</v>
      </c>
      <c r="AA6" t="s">
        <v>49</v>
      </c>
      <c r="AB6" t="s">
        <v>50</v>
      </c>
      <c r="AC6">
        <v>30</v>
      </c>
      <c r="AE6" t="s">
        <v>51</v>
      </c>
      <c r="AF6" s="57">
        <f>10</f>
        <v>10</v>
      </c>
      <c r="AH6" t="s">
        <v>51</v>
      </c>
      <c r="AI6" s="57">
        <f>AF6</f>
        <v>10</v>
      </c>
      <c r="AK6" s="66"/>
      <c r="AL6" s="67">
        <f>1/1000</f>
        <v>0.001</v>
      </c>
      <c r="AM6" s="59" t="s">
        <v>49</v>
      </c>
      <c r="AN6" s="59"/>
      <c r="AO6" s="59"/>
      <c r="AP6" s="59"/>
      <c r="AQ6" s="59"/>
      <c r="AR6" s="59"/>
      <c r="AS6" s="59"/>
      <c r="AT6" t="s">
        <v>52</v>
      </c>
      <c r="AU6">
        <v>30</v>
      </c>
      <c r="AV6" t="s">
        <v>53</v>
      </c>
      <c r="AW6" t="s">
        <v>52</v>
      </c>
      <c r="AX6">
        <v>30</v>
      </c>
      <c r="AY6" t="s">
        <v>53</v>
      </c>
      <c r="AZ6" t="s">
        <v>52</v>
      </c>
      <c r="BA6">
        <v>30</v>
      </c>
      <c r="BB6" t="s">
        <v>53</v>
      </c>
      <c r="BC6" t="s">
        <v>52</v>
      </c>
      <c r="BD6">
        <v>30</v>
      </c>
      <c r="BE6" t="s">
        <v>53</v>
      </c>
      <c r="BF6" t="s">
        <v>52</v>
      </c>
      <c r="BG6">
        <v>25</v>
      </c>
      <c r="BH6" t="s">
        <v>53</v>
      </c>
      <c r="BI6" t="s">
        <v>52</v>
      </c>
      <c r="BJ6">
        <v>25</v>
      </c>
      <c r="BK6" t="s">
        <v>53</v>
      </c>
      <c r="BL6" t="s">
        <v>52</v>
      </c>
      <c r="BM6">
        <v>25</v>
      </c>
      <c r="BN6" t="s">
        <v>53</v>
      </c>
      <c r="BO6" t="s">
        <v>52</v>
      </c>
      <c r="BP6">
        <v>25</v>
      </c>
      <c r="BQ6" t="s">
        <v>53</v>
      </c>
      <c r="BR6" t="s">
        <v>52</v>
      </c>
      <c r="BS6">
        <v>25</v>
      </c>
      <c r="BT6" t="s">
        <v>53</v>
      </c>
      <c r="BU6" t="s">
        <v>52</v>
      </c>
      <c r="BV6">
        <v>25</v>
      </c>
      <c r="BW6" t="s">
        <v>53</v>
      </c>
      <c r="BX6" s="61" t="s">
        <v>14</v>
      </c>
      <c r="BY6" s="68">
        <f>H3</f>
        <v>1.4766773108983429</v>
      </c>
      <c r="BZ6" s="62" t="s">
        <v>19</v>
      </c>
      <c r="CF6" s="57"/>
    </row>
    <row r="7" spans="1:78" ht="12.75">
      <c r="A7" t="s">
        <v>47</v>
      </c>
      <c r="B7">
        <v>350</v>
      </c>
      <c r="C7" t="s">
        <v>54</v>
      </c>
      <c r="D7" t="s">
        <v>47</v>
      </c>
      <c r="E7">
        <v>225</v>
      </c>
      <c r="F7" t="s">
        <v>54</v>
      </c>
      <c r="G7" s="58" t="s">
        <v>55</v>
      </c>
      <c r="H7" s="57">
        <f>0.0000000000304</f>
        <v>3.04E-11</v>
      </c>
      <c r="I7" s="58" t="s">
        <v>56</v>
      </c>
      <c r="J7" s="58" t="s">
        <v>57</v>
      </c>
      <c r="K7" s="69">
        <f>0.00000000000518</f>
        <v>5.179999999999999E-12</v>
      </c>
      <c r="L7" s="58"/>
      <c r="M7" s="58" t="s">
        <v>58</v>
      </c>
      <c r="N7" s="70">
        <f>0.0000000000374</f>
        <v>3.74E-11</v>
      </c>
      <c r="O7" s="58" t="s">
        <v>56</v>
      </c>
      <c r="P7" s="58"/>
      <c r="Q7" s="58"/>
      <c r="R7" s="58"/>
      <c r="S7" s="58" t="s">
        <v>59</v>
      </c>
      <c r="T7" s="63">
        <v>250</v>
      </c>
      <c r="U7" s="58" t="s">
        <v>48</v>
      </c>
      <c r="V7" s="58" t="s">
        <v>60</v>
      </c>
      <c r="W7" s="63">
        <v>225</v>
      </c>
      <c r="X7" s="58" t="s">
        <v>48</v>
      </c>
      <c r="Y7" s="58" t="s">
        <v>61</v>
      </c>
      <c r="Z7" s="63">
        <v>250</v>
      </c>
      <c r="AA7" s="58" t="s">
        <v>48</v>
      </c>
      <c r="AB7" s="58" t="s">
        <v>47</v>
      </c>
      <c r="AC7" s="58">
        <v>350</v>
      </c>
      <c r="AD7" s="58"/>
      <c r="AE7" t="s">
        <v>62</v>
      </c>
      <c r="AF7">
        <v>1</v>
      </c>
      <c r="AG7" s="58"/>
      <c r="AH7" s="58" t="s">
        <v>63</v>
      </c>
      <c r="AI7" s="58">
        <v>1</v>
      </c>
      <c r="AJ7" s="58"/>
      <c r="AK7" s="58" t="s">
        <v>58</v>
      </c>
      <c r="AL7" s="71">
        <f>N7</f>
        <v>3.74E-11</v>
      </c>
      <c r="AM7" s="58" t="s">
        <v>56</v>
      </c>
      <c r="AN7" s="58" t="s">
        <v>58</v>
      </c>
      <c r="AO7" s="71">
        <f>AL7</f>
        <v>3.74E-11</v>
      </c>
      <c r="AP7" s="58" t="s">
        <v>56</v>
      </c>
      <c r="AQ7" s="58" t="s">
        <v>58</v>
      </c>
      <c r="AR7" s="71">
        <f>AL7</f>
        <v>3.74E-11</v>
      </c>
      <c r="AS7" s="58" t="s">
        <v>56</v>
      </c>
      <c r="AT7" t="s">
        <v>46</v>
      </c>
      <c r="AU7" s="70">
        <f>B6</f>
        <v>0.023100000000000002</v>
      </c>
      <c r="AW7" t="s">
        <v>46</v>
      </c>
      <c r="AX7" s="70">
        <f>AU7</f>
        <v>0.023100000000000002</v>
      </c>
      <c r="AZ7" t="s">
        <v>46</v>
      </c>
      <c r="BA7" s="70">
        <f>AU7</f>
        <v>0.023100000000000002</v>
      </c>
      <c r="BC7" t="s">
        <v>46</v>
      </c>
      <c r="BD7" s="70">
        <f>BA7</f>
        <v>0.023100000000000002</v>
      </c>
      <c r="BF7" t="s">
        <v>46</v>
      </c>
      <c r="BG7" s="70">
        <f>AU7</f>
        <v>0.023100000000000002</v>
      </c>
      <c r="BI7" t="s">
        <v>46</v>
      </c>
      <c r="BJ7" s="70">
        <f>BG7</f>
        <v>0.023100000000000002</v>
      </c>
      <c r="BL7" t="s">
        <v>46</v>
      </c>
      <c r="BM7" s="70">
        <f>BG7</f>
        <v>0.023100000000000002</v>
      </c>
      <c r="BO7" t="s">
        <v>46</v>
      </c>
      <c r="BP7" s="70">
        <f>BM7</f>
        <v>0.023100000000000002</v>
      </c>
      <c r="BR7" s="61" t="s">
        <v>46</v>
      </c>
      <c r="BS7" s="68">
        <f>BM7</f>
        <v>0.023100000000000002</v>
      </c>
      <c r="BT7" s="61"/>
      <c r="BU7" s="61" t="s">
        <v>46</v>
      </c>
      <c r="BV7" s="68">
        <f>BS7</f>
        <v>0.023100000000000002</v>
      </c>
      <c r="BW7" s="61"/>
      <c r="BX7" s="61" t="s">
        <v>46</v>
      </c>
      <c r="BY7" s="68">
        <f>0.0231</f>
        <v>0.023100000000000002</v>
      </c>
      <c r="BZ7" s="61"/>
    </row>
    <row r="8" spans="1:78" ht="12.75">
      <c r="A8" t="s">
        <v>50</v>
      </c>
      <c r="B8">
        <v>30</v>
      </c>
      <c r="C8" t="s">
        <v>53</v>
      </c>
      <c r="D8" t="s">
        <v>50</v>
      </c>
      <c r="E8">
        <v>25</v>
      </c>
      <c r="F8" t="s">
        <v>53</v>
      </c>
      <c r="G8" s="58" t="s">
        <v>64</v>
      </c>
      <c r="H8" s="65">
        <f>(H9*H10+H15*H12)/H11</f>
        <v>1.8</v>
      </c>
      <c r="I8" s="58" t="s">
        <v>65</v>
      </c>
      <c r="J8" s="58" t="s">
        <v>66</v>
      </c>
      <c r="K8" s="69">
        <f>0.0000000000304</f>
        <v>3.04E-11</v>
      </c>
      <c r="L8" s="58"/>
      <c r="M8" s="58" t="s">
        <v>47</v>
      </c>
      <c r="N8" s="63">
        <v>350</v>
      </c>
      <c r="O8" s="58" t="s">
        <v>48</v>
      </c>
      <c r="P8" s="58" t="s">
        <v>67</v>
      </c>
      <c r="Q8" s="58">
        <v>350</v>
      </c>
      <c r="R8" s="58"/>
      <c r="S8" s="58" t="s">
        <v>68</v>
      </c>
      <c r="T8" s="57">
        <f>0.0000000000317</f>
        <v>3.17E-11</v>
      </c>
      <c r="U8" t="s">
        <v>56</v>
      </c>
      <c r="V8" t="s">
        <v>68</v>
      </c>
      <c r="W8" s="57">
        <f>T8</f>
        <v>3.17E-11</v>
      </c>
      <c r="X8" t="s">
        <v>56</v>
      </c>
      <c r="Y8" t="s">
        <v>68</v>
      </c>
      <c r="Z8" s="57">
        <f>W8</f>
        <v>3.17E-11</v>
      </c>
      <c r="AA8" s="58" t="s">
        <v>56</v>
      </c>
      <c r="AB8" s="58" t="s">
        <v>58</v>
      </c>
      <c r="AC8" s="69">
        <f>AL7</f>
        <v>3.74E-11</v>
      </c>
      <c r="AD8" s="58"/>
      <c r="AE8" t="s">
        <v>69</v>
      </c>
      <c r="AF8" s="58">
        <v>1</v>
      </c>
      <c r="AG8" s="58"/>
      <c r="AH8" s="58" t="s">
        <v>70</v>
      </c>
      <c r="AI8" s="58">
        <v>1</v>
      </c>
      <c r="AJ8" s="58"/>
      <c r="AK8" s="72" t="s">
        <v>71</v>
      </c>
      <c r="AL8" s="73">
        <v>350</v>
      </c>
      <c r="AM8" s="72" t="s">
        <v>48</v>
      </c>
      <c r="AN8" s="72" t="s">
        <v>72</v>
      </c>
      <c r="AO8" s="73">
        <v>350</v>
      </c>
      <c r="AP8" s="72" t="s">
        <v>48</v>
      </c>
      <c r="AQ8" s="72" t="s">
        <v>72</v>
      </c>
      <c r="AR8" s="73">
        <v>350</v>
      </c>
      <c r="AS8" s="72" t="s">
        <v>48</v>
      </c>
      <c r="AT8" t="s">
        <v>47</v>
      </c>
      <c r="AU8">
        <v>350</v>
      </c>
      <c r="AV8" t="s">
        <v>54</v>
      </c>
      <c r="AW8" t="s">
        <v>47</v>
      </c>
      <c r="AX8">
        <v>350</v>
      </c>
      <c r="AY8" t="s">
        <v>54</v>
      </c>
      <c r="AZ8" t="s">
        <v>47</v>
      </c>
      <c r="BA8">
        <v>350</v>
      </c>
      <c r="BB8" t="s">
        <v>54</v>
      </c>
      <c r="BC8" t="s">
        <v>47</v>
      </c>
      <c r="BD8">
        <v>350</v>
      </c>
      <c r="BE8" t="s">
        <v>54</v>
      </c>
      <c r="BF8" t="s">
        <v>47</v>
      </c>
      <c r="BG8">
        <v>250</v>
      </c>
      <c r="BH8" t="s">
        <v>54</v>
      </c>
      <c r="BI8" t="s">
        <v>47</v>
      </c>
      <c r="BJ8">
        <v>250</v>
      </c>
      <c r="BK8" t="s">
        <v>54</v>
      </c>
      <c r="BL8" t="s">
        <v>47</v>
      </c>
      <c r="BM8">
        <v>225</v>
      </c>
      <c r="BN8" t="s">
        <v>54</v>
      </c>
      <c r="BO8" t="s">
        <v>47</v>
      </c>
      <c r="BP8">
        <v>225</v>
      </c>
      <c r="BQ8" t="s">
        <v>54</v>
      </c>
      <c r="BR8" s="61" t="s">
        <v>47</v>
      </c>
      <c r="BS8" s="61">
        <v>250</v>
      </c>
      <c r="BT8" s="61" t="s">
        <v>54</v>
      </c>
      <c r="BU8" s="61" t="s">
        <v>47</v>
      </c>
      <c r="BV8" s="61">
        <v>250</v>
      </c>
      <c r="BW8" s="61" t="s">
        <v>54</v>
      </c>
      <c r="BX8" s="61" t="s">
        <v>73</v>
      </c>
      <c r="BY8" s="61">
        <v>0.30000000000000004</v>
      </c>
      <c r="BZ8" s="61"/>
    </row>
    <row r="9" spans="1:78" ht="12.75">
      <c r="A9" t="s">
        <v>74</v>
      </c>
      <c r="B9" s="70">
        <f>0.0000000000119</f>
        <v>1.1899999999999999E-11</v>
      </c>
      <c r="C9" s="74" t="s">
        <v>56</v>
      </c>
      <c r="D9" t="s">
        <v>74</v>
      </c>
      <c r="E9" s="70">
        <f>B9</f>
        <v>1.1899999999999999E-11</v>
      </c>
      <c r="F9" s="74" t="s">
        <v>56</v>
      </c>
      <c r="G9" s="58" t="s">
        <v>75</v>
      </c>
      <c r="H9" s="65">
        <f>6</f>
        <v>6</v>
      </c>
      <c r="I9" t="s">
        <v>76</v>
      </c>
      <c r="J9" t="s">
        <v>77</v>
      </c>
      <c r="K9">
        <v>1</v>
      </c>
      <c r="M9" s="58" t="s">
        <v>68</v>
      </c>
      <c r="N9" s="57">
        <f>0.0000000000433</f>
        <v>4.3299999999999995E-11</v>
      </c>
      <c r="O9" s="58" t="s">
        <v>56</v>
      </c>
      <c r="P9" s="58" t="s">
        <v>68</v>
      </c>
      <c r="Q9" s="69">
        <f>N9</f>
        <v>4.3299999999999995E-11</v>
      </c>
      <c r="R9" s="58"/>
      <c r="S9" s="58" t="s">
        <v>50</v>
      </c>
      <c r="T9">
        <v>25</v>
      </c>
      <c r="U9" s="58" t="s">
        <v>78</v>
      </c>
      <c r="V9" s="58" t="s">
        <v>50</v>
      </c>
      <c r="W9">
        <v>25</v>
      </c>
      <c r="X9" s="58" t="s">
        <v>78</v>
      </c>
      <c r="Y9" s="58" t="s">
        <v>50</v>
      </c>
      <c r="Z9">
        <v>25</v>
      </c>
      <c r="AA9" s="58" t="s">
        <v>78</v>
      </c>
      <c r="AB9" s="58" t="s">
        <v>79</v>
      </c>
      <c r="AC9" s="58">
        <v>1</v>
      </c>
      <c r="AD9" s="58"/>
      <c r="AE9" t="s">
        <v>80</v>
      </c>
      <c r="AF9" s="58">
        <v>1</v>
      </c>
      <c r="AG9" s="58"/>
      <c r="AH9" s="58"/>
      <c r="AI9" s="58"/>
      <c r="AJ9" s="58"/>
      <c r="AK9" s="58" t="s">
        <v>68</v>
      </c>
      <c r="AL9" s="71">
        <f>N9</f>
        <v>4.3299999999999995E-11</v>
      </c>
      <c r="AM9" s="58" t="s">
        <v>56</v>
      </c>
      <c r="AN9" s="58" t="s">
        <v>68</v>
      </c>
      <c r="AO9" s="71">
        <f>AL9</f>
        <v>4.3299999999999995E-11</v>
      </c>
      <c r="AP9" s="58" t="s">
        <v>56</v>
      </c>
      <c r="AQ9" s="58" t="s">
        <v>68</v>
      </c>
      <c r="AR9" s="71">
        <f>AO9</f>
        <v>4.3299999999999995E-11</v>
      </c>
      <c r="AS9" s="58" t="s">
        <v>56</v>
      </c>
      <c r="AT9" t="s">
        <v>50</v>
      </c>
      <c r="AU9">
        <v>30</v>
      </c>
      <c r="AV9" t="s">
        <v>53</v>
      </c>
      <c r="AW9" t="s">
        <v>50</v>
      </c>
      <c r="AX9">
        <v>30</v>
      </c>
      <c r="AY9" t="s">
        <v>53</v>
      </c>
      <c r="AZ9" t="s">
        <v>50</v>
      </c>
      <c r="BA9">
        <v>30</v>
      </c>
      <c r="BB9" t="s">
        <v>53</v>
      </c>
      <c r="BC9" t="s">
        <v>50</v>
      </c>
      <c r="BD9">
        <v>30</v>
      </c>
      <c r="BE9" t="s">
        <v>53</v>
      </c>
      <c r="BF9" t="s">
        <v>50</v>
      </c>
      <c r="BG9">
        <v>25</v>
      </c>
      <c r="BH9" t="s">
        <v>53</v>
      </c>
      <c r="BI9" t="s">
        <v>50</v>
      </c>
      <c r="BJ9">
        <v>25</v>
      </c>
      <c r="BK9" t="s">
        <v>53</v>
      </c>
      <c r="BL9" t="s">
        <v>50</v>
      </c>
      <c r="BM9">
        <v>25</v>
      </c>
      <c r="BN9" t="s">
        <v>53</v>
      </c>
      <c r="BO9" t="s">
        <v>50</v>
      </c>
      <c r="BP9">
        <v>25</v>
      </c>
      <c r="BQ9" t="s">
        <v>53</v>
      </c>
      <c r="BR9" t="s">
        <v>50</v>
      </c>
      <c r="BS9">
        <v>25</v>
      </c>
      <c r="BT9" t="s">
        <v>53</v>
      </c>
      <c r="BU9" t="s">
        <v>50</v>
      </c>
      <c r="BV9">
        <v>25</v>
      </c>
      <c r="BW9" t="s">
        <v>53</v>
      </c>
      <c r="BX9" s="61" t="s">
        <v>81</v>
      </c>
      <c r="BY9" s="68">
        <v>1.5</v>
      </c>
      <c r="BZ9" s="61"/>
    </row>
    <row r="10" spans="1:78" ht="12.75">
      <c r="A10" s="58" t="s">
        <v>82</v>
      </c>
      <c r="B10" s="65">
        <f>(B11*B15+B12*B16)/(B15+B16)</f>
        <v>18</v>
      </c>
      <c r="C10" t="s">
        <v>83</v>
      </c>
      <c r="D10" t="s">
        <v>84</v>
      </c>
      <c r="E10" s="63">
        <v>8</v>
      </c>
      <c r="F10" s="74" t="s">
        <v>85</v>
      </c>
      <c r="G10" s="58" t="s">
        <v>86</v>
      </c>
      <c r="H10" s="65">
        <v>1</v>
      </c>
      <c r="J10" t="s">
        <v>87</v>
      </c>
      <c r="K10">
        <v>8</v>
      </c>
      <c r="M10" s="58" t="s">
        <v>88</v>
      </c>
      <c r="N10" s="65">
        <f>(N13*N12+N16*N15)/(N12+N15)</f>
        <v>120</v>
      </c>
      <c r="O10" s="58" t="s">
        <v>89</v>
      </c>
      <c r="P10" s="58" t="s">
        <v>90</v>
      </c>
      <c r="Q10" s="69">
        <f>N23</f>
        <v>2.54E-06</v>
      </c>
      <c r="R10" s="58"/>
      <c r="S10" s="58" t="s">
        <v>91</v>
      </c>
      <c r="T10" s="65">
        <v>50</v>
      </c>
      <c r="V10" s="58" t="s">
        <v>92</v>
      </c>
      <c r="W10" s="65">
        <v>100</v>
      </c>
      <c r="Y10" s="58" t="s">
        <v>93</v>
      </c>
      <c r="Z10" s="65">
        <v>100</v>
      </c>
      <c r="AB10" t="s">
        <v>94</v>
      </c>
      <c r="AC10">
        <v>1</v>
      </c>
      <c r="AE10" s="58" t="s">
        <v>95</v>
      </c>
      <c r="AF10" s="58">
        <v>1</v>
      </c>
      <c r="AH10" t="s">
        <v>96</v>
      </c>
      <c r="AI10" s="57">
        <f>AC12/(AI6*AI7/1000)</f>
        <v>92.94626941685763</v>
      </c>
      <c r="AJ10" t="s">
        <v>34</v>
      </c>
      <c r="AK10" s="72" t="s">
        <v>97</v>
      </c>
      <c r="AL10" s="59">
        <f>(AL13*AL12+AL16*AL15)/(AL11)</f>
        <v>115</v>
      </c>
      <c r="AM10" s="72" t="s">
        <v>89</v>
      </c>
      <c r="AN10" s="72" t="s">
        <v>97</v>
      </c>
      <c r="AO10" s="59">
        <f>(AO13*AO12+AO16*AO15)/(AO11)</f>
        <v>115</v>
      </c>
      <c r="AP10" s="72" t="s">
        <v>89</v>
      </c>
      <c r="AQ10" s="72" t="s">
        <v>97</v>
      </c>
      <c r="AR10" s="59">
        <f>(AR13*AR12+AR16*AR15)/(AR11)</f>
        <v>115</v>
      </c>
      <c r="AS10" s="72" t="s">
        <v>89</v>
      </c>
      <c r="AT10" t="s">
        <v>98</v>
      </c>
      <c r="AU10">
        <v>0.4</v>
      </c>
      <c r="AW10" t="s">
        <v>98</v>
      </c>
      <c r="AX10">
        <v>0.4</v>
      </c>
      <c r="AZ10" t="s">
        <v>98</v>
      </c>
      <c r="BA10">
        <v>0.4</v>
      </c>
      <c r="BC10" t="s">
        <v>98</v>
      </c>
      <c r="BD10">
        <v>0.4</v>
      </c>
      <c r="BF10" t="s">
        <v>98</v>
      </c>
      <c r="BG10">
        <v>0.4</v>
      </c>
      <c r="BI10" t="s">
        <v>98</v>
      </c>
      <c r="BJ10">
        <v>0.4</v>
      </c>
      <c r="BL10" t="s">
        <v>98</v>
      </c>
      <c r="BM10">
        <v>0.4</v>
      </c>
      <c r="BO10" t="s">
        <v>98</v>
      </c>
      <c r="BP10">
        <v>0.4</v>
      </c>
      <c r="BR10" s="61"/>
      <c r="BS10" s="61"/>
      <c r="BT10" s="61"/>
      <c r="BU10" s="61"/>
      <c r="BV10" s="61"/>
      <c r="BW10" s="61"/>
      <c r="BX10" s="61" t="s">
        <v>99</v>
      </c>
      <c r="BY10" s="61">
        <v>30</v>
      </c>
      <c r="BZ10" s="61"/>
    </row>
    <row r="11" spans="1:78" ht="12.75">
      <c r="A11" s="58" t="s">
        <v>100</v>
      </c>
      <c r="B11" s="75">
        <v>10</v>
      </c>
      <c r="C11" s="75" t="s">
        <v>83</v>
      </c>
      <c r="E11" s="63">
        <v>24</v>
      </c>
      <c r="F11" s="74" t="s">
        <v>85</v>
      </c>
      <c r="G11" s="58" t="s">
        <v>101</v>
      </c>
      <c r="H11" s="65">
        <f>B8</f>
        <v>30</v>
      </c>
      <c r="I11" t="s">
        <v>76</v>
      </c>
      <c r="J11" t="s">
        <v>47</v>
      </c>
      <c r="K11">
        <v>350</v>
      </c>
      <c r="M11" s="58" t="s">
        <v>50</v>
      </c>
      <c r="N11" s="65">
        <v>30</v>
      </c>
      <c r="O11" s="58" t="s">
        <v>78</v>
      </c>
      <c r="P11" s="58" t="s">
        <v>74</v>
      </c>
      <c r="Q11" s="69">
        <f>N25</f>
        <v>1.1899999999999999E-11</v>
      </c>
      <c r="R11" s="58"/>
      <c r="S11" s="58" t="s">
        <v>102</v>
      </c>
      <c r="T11" s="75">
        <v>60</v>
      </c>
      <c r="U11" s="75" t="s">
        <v>83</v>
      </c>
      <c r="V11" s="58" t="s">
        <v>102</v>
      </c>
      <c r="W11" s="75">
        <v>60</v>
      </c>
      <c r="X11" s="75" t="s">
        <v>83</v>
      </c>
      <c r="Y11" s="58" t="s">
        <v>102</v>
      </c>
      <c r="Z11" s="75">
        <v>60</v>
      </c>
      <c r="AA11" s="75" t="s">
        <v>83</v>
      </c>
      <c r="AB11" s="75"/>
      <c r="AC11" s="75"/>
      <c r="AD11" s="75"/>
      <c r="AE11" t="s">
        <v>103</v>
      </c>
      <c r="AF11">
        <v>1</v>
      </c>
      <c r="AG11" s="75"/>
      <c r="AH11" s="75" t="s">
        <v>104</v>
      </c>
      <c r="AI11" s="76">
        <f>AC13/(AI5*AI8/1000)</f>
        <v>30982.089805619213</v>
      </c>
      <c r="AJ11" s="75" t="s">
        <v>34</v>
      </c>
      <c r="AK11" s="72" t="s">
        <v>105</v>
      </c>
      <c r="AL11" s="59">
        <v>40</v>
      </c>
      <c r="AM11" s="72" t="s">
        <v>78</v>
      </c>
      <c r="AN11" s="72" t="s">
        <v>105</v>
      </c>
      <c r="AO11" s="59">
        <v>40</v>
      </c>
      <c r="AP11" s="72" t="s">
        <v>78</v>
      </c>
      <c r="AQ11" s="72" t="s">
        <v>105</v>
      </c>
      <c r="AR11" s="59">
        <v>40</v>
      </c>
      <c r="AS11" s="72" t="s">
        <v>78</v>
      </c>
      <c r="AT11" t="s">
        <v>106</v>
      </c>
      <c r="AU11">
        <v>1</v>
      </c>
      <c r="AW11" t="s">
        <v>106</v>
      </c>
      <c r="AX11">
        <v>1</v>
      </c>
      <c r="AZ11" t="s">
        <v>106</v>
      </c>
      <c r="BA11">
        <v>1</v>
      </c>
      <c r="BC11" t="s">
        <v>106</v>
      </c>
      <c r="BD11">
        <v>1</v>
      </c>
      <c r="BF11" t="s">
        <v>106</v>
      </c>
      <c r="BG11">
        <v>1</v>
      </c>
      <c r="BI11" t="s">
        <v>106</v>
      </c>
      <c r="BJ11">
        <v>1</v>
      </c>
      <c r="BL11" t="s">
        <v>106</v>
      </c>
      <c r="BM11">
        <v>1</v>
      </c>
      <c r="BO11" t="s">
        <v>106</v>
      </c>
      <c r="BP11">
        <v>1</v>
      </c>
      <c r="BR11" s="61" t="s">
        <v>106</v>
      </c>
      <c r="BS11" s="61">
        <v>1</v>
      </c>
      <c r="BT11" s="61"/>
      <c r="BU11" s="61" t="s">
        <v>106</v>
      </c>
      <c r="BV11" s="61">
        <v>1</v>
      </c>
      <c r="BW11" s="61"/>
      <c r="BX11" s="61" t="s">
        <v>107</v>
      </c>
      <c r="BY11" s="68">
        <v>20</v>
      </c>
      <c r="BZ11" s="61"/>
    </row>
    <row r="12" spans="1:78" ht="12.75">
      <c r="A12" s="58" t="s">
        <v>108</v>
      </c>
      <c r="B12" s="75">
        <v>20</v>
      </c>
      <c r="C12" s="75" t="s">
        <v>83</v>
      </c>
      <c r="D12" t="s">
        <v>109</v>
      </c>
      <c r="E12" s="57">
        <v>60</v>
      </c>
      <c r="F12" s="74" t="s">
        <v>83</v>
      </c>
      <c r="G12" s="58" t="s">
        <v>110</v>
      </c>
      <c r="H12" s="65">
        <v>2</v>
      </c>
      <c r="J12" t="s">
        <v>50</v>
      </c>
      <c r="K12">
        <v>30</v>
      </c>
      <c r="M12" s="58" t="s">
        <v>111</v>
      </c>
      <c r="N12" s="65">
        <v>6</v>
      </c>
      <c r="P12" t="s">
        <v>112</v>
      </c>
      <c r="Q12" s="65">
        <f>0.175</f>
        <v>0.17500000000000002</v>
      </c>
      <c r="S12" s="58" t="s">
        <v>113</v>
      </c>
      <c r="T12" s="75">
        <v>0.4</v>
      </c>
      <c r="U12" s="75"/>
      <c r="V12" s="58" t="s">
        <v>113</v>
      </c>
      <c r="W12" s="75">
        <v>1</v>
      </c>
      <c r="X12" s="75"/>
      <c r="Y12" s="58" t="s">
        <v>113</v>
      </c>
      <c r="Z12" s="75">
        <v>1</v>
      </c>
      <c r="AA12" s="75"/>
      <c r="AB12" s="75" t="s">
        <v>96</v>
      </c>
      <c r="AC12" s="76">
        <f>AC5/(AC6*AC7/365*AC8*AC9*1000)</f>
        <v>0.9294626941685763</v>
      </c>
      <c r="AD12" s="75" t="s">
        <v>34</v>
      </c>
      <c r="AE12" t="s">
        <v>114</v>
      </c>
      <c r="AF12" s="58">
        <v>1</v>
      </c>
      <c r="AG12" s="75"/>
      <c r="AH12" s="75"/>
      <c r="AI12" s="75"/>
      <c r="AJ12" s="75"/>
      <c r="AK12" s="72" t="s">
        <v>115</v>
      </c>
      <c r="AL12" s="59">
        <v>6</v>
      </c>
      <c r="AM12" s="59"/>
      <c r="AN12" s="72" t="s">
        <v>115</v>
      </c>
      <c r="AO12" s="59">
        <v>6</v>
      </c>
      <c r="AP12" s="59"/>
      <c r="AQ12" s="72" t="s">
        <v>115</v>
      </c>
      <c r="AR12" s="59">
        <v>6</v>
      </c>
      <c r="AS12" s="59"/>
      <c r="AT12" t="s">
        <v>112</v>
      </c>
      <c r="AU12" s="65">
        <f>N22</f>
        <v>0.877</v>
      </c>
      <c r="AW12" t="s">
        <v>112</v>
      </c>
      <c r="AX12" s="65">
        <f>AU12</f>
        <v>0.877</v>
      </c>
      <c r="AZ12" t="s">
        <v>112</v>
      </c>
      <c r="BA12" s="100">
        <v>0.17500000000000002</v>
      </c>
      <c r="BC12" t="s">
        <v>112</v>
      </c>
      <c r="BD12" s="100">
        <f>BA12</f>
        <v>0.17500000000000002</v>
      </c>
      <c r="BF12" t="s">
        <v>112</v>
      </c>
      <c r="BG12" s="65">
        <f>AU12</f>
        <v>0.877</v>
      </c>
      <c r="BI12" t="s">
        <v>112</v>
      </c>
      <c r="BJ12" s="65">
        <f>AX12</f>
        <v>0.877</v>
      </c>
      <c r="BL12" t="s">
        <v>112</v>
      </c>
      <c r="BM12" s="65">
        <f>BG12</f>
        <v>0.877</v>
      </c>
      <c r="BO12" t="s">
        <v>112</v>
      </c>
      <c r="BP12" s="65">
        <f>BJ12</f>
        <v>0.877</v>
      </c>
      <c r="BR12" s="61" t="s">
        <v>112</v>
      </c>
      <c r="BS12" s="61">
        <f>BM12</f>
        <v>0.877</v>
      </c>
      <c r="BT12" s="61"/>
      <c r="BU12" s="61" t="s">
        <v>112</v>
      </c>
      <c r="BV12" s="61">
        <f>BS12</f>
        <v>0.877</v>
      </c>
      <c r="BW12" s="61"/>
      <c r="BX12" s="61" t="s">
        <v>116</v>
      </c>
      <c r="BY12" s="61">
        <f>10</f>
        <v>10</v>
      </c>
      <c r="BZ12" s="61"/>
    </row>
    <row r="13" spans="1:78" ht="12.75">
      <c r="A13" t="s">
        <v>117</v>
      </c>
      <c r="B13">
        <v>24</v>
      </c>
      <c r="C13" t="s">
        <v>85</v>
      </c>
      <c r="D13" s="64" t="s">
        <v>118</v>
      </c>
      <c r="E13" s="57">
        <f>B17</f>
        <v>2.3900000000000002E-09</v>
      </c>
      <c r="F13" s="64" t="s">
        <v>119</v>
      </c>
      <c r="G13" s="58" t="s">
        <v>120</v>
      </c>
      <c r="H13" s="75">
        <v>0.5</v>
      </c>
      <c r="I13" t="s">
        <v>121</v>
      </c>
      <c r="J13" t="s">
        <v>122</v>
      </c>
      <c r="K13">
        <v>0.5</v>
      </c>
      <c r="M13" s="58" t="s">
        <v>123</v>
      </c>
      <c r="N13" s="65">
        <v>200</v>
      </c>
      <c r="P13" t="s">
        <v>124</v>
      </c>
      <c r="Q13">
        <v>8</v>
      </c>
      <c r="S13" s="58" t="s">
        <v>112</v>
      </c>
      <c r="T13" s="75">
        <f>N22</f>
        <v>0.877</v>
      </c>
      <c r="U13" s="75"/>
      <c r="V13" s="58" t="s">
        <v>112</v>
      </c>
      <c r="W13" s="75">
        <f>T13</f>
        <v>0.877</v>
      </c>
      <c r="X13" s="75"/>
      <c r="Y13" s="58" t="s">
        <v>112</v>
      </c>
      <c r="Z13" s="75">
        <f>T13</f>
        <v>0.877</v>
      </c>
      <c r="AA13" s="75"/>
      <c r="AB13" s="75" t="s">
        <v>104</v>
      </c>
      <c r="AC13" s="76">
        <f>AC5/(AC6*AC7/365*AC8*AC10*1000)</f>
        <v>0.9294626941685763</v>
      </c>
      <c r="AD13" s="75" t="s">
        <v>34</v>
      </c>
      <c r="AE13" t="s">
        <v>125</v>
      </c>
      <c r="AF13" s="58">
        <v>1</v>
      </c>
      <c r="AG13" s="75"/>
      <c r="AH13" s="75"/>
      <c r="AI13" s="75"/>
      <c r="AJ13" s="75"/>
      <c r="AK13" s="72" t="s">
        <v>126</v>
      </c>
      <c r="AL13" s="59">
        <v>200</v>
      </c>
      <c r="AM13" s="59"/>
      <c r="AN13" s="72" t="s">
        <v>126</v>
      </c>
      <c r="AO13" s="59">
        <v>200</v>
      </c>
      <c r="AP13" s="59"/>
      <c r="AQ13" s="72" t="s">
        <v>126</v>
      </c>
      <c r="AR13" s="59">
        <v>200</v>
      </c>
      <c r="AS13" s="59"/>
      <c r="AT13" t="s">
        <v>127</v>
      </c>
      <c r="AU13">
        <v>0.073</v>
      </c>
      <c r="AV13" t="s">
        <v>128</v>
      </c>
      <c r="AW13" t="s">
        <v>127</v>
      </c>
      <c r="AX13">
        <v>0.073</v>
      </c>
      <c r="AY13" t="s">
        <v>128</v>
      </c>
      <c r="AZ13" t="s">
        <v>87</v>
      </c>
      <c r="BA13">
        <v>8</v>
      </c>
      <c r="BB13" t="s">
        <v>128</v>
      </c>
      <c r="BC13" t="s">
        <v>87</v>
      </c>
      <c r="BD13">
        <v>8</v>
      </c>
      <c r="BE13" t="s">
        <v>128</v>
      </c>
      <c r="BF13" t="s">
        <v>127</v>
      </c>
      <c r="BG13">
        <v>0</v>
      </c>
      <c r="BH13" t="s">
        <v>128</v>
      </c>
      <c r="BI13" t="s">
        <v>127</v>
      </c>
      <c r="BJ13">
        <v>0</v>
      </c>
      <c r="BK13" t="s">
        <v>128</v>
      </c>
      <c r="BL13" t="s">
        <v>127</v>
      </c>
      <c r="BM13">
        <v>0.33</v>
      </c>
      <c r="BN13" t="s">
        <v>128</v>
      </c>
      <c r="BO13" t="s">
        <v>87</v>
      </c>
      <c r="BP13">
        <v>0.33</v>
      </c>
      <c r="BQ13" t="s">
        <v>129</v>
      </c>
      <c r="BR13" s="61" t="s">
        <v>130</v>
      </c>
      <c r="BS13" s="61">
        <v>8</v>
      </c>
      <c r="BT13" s="61" t="s">
        <v>131</v>
      </c>
      <c r="BU13" s="61" t="s">
        <v>130</v>
      </c>
      <c r="BV13" s="61">
        <v>8</v>
      </c>
      <c r="BW13" s="61" t="s">
        <v>131</v>
      </c>
      <c r="BZ13" s="61"/>
    </row>
    <row r="14" spans="2:78" ht="12.75">
      <c r="B14">
        <v>24</v>
      </c>
      <c r="C14" t="s">
        <v>85</v>
      </c>
      <c r="D14" s="64" t="s">
        <v>113</v>
      </c>
      <c r="E14" s="64">
        <v>1</v>
      </c>
      <c r="G14" s="58" t="s">
        <v>74</v>
      </c>
      <c r="H14" s="70">
        <f>B9</f>
        <v>1.1899999999999999E-11</v>
      </c>
      <c r="I14" s="74" t="s">
        <v>56</v>
      </c>
      <c r="J14" s="74"/>
      <c r="K14" s="74"/>
      <c r="L14" s="74"/>
      <c r="M14" s="58" t="s">
        <v>132</v>
      </c>
      <c r="N14" s="63">
        <v>15</v>
      </c>
      <c r="O14" s="74"/>
      <c r="P14" s="74" t="s">
        <v>133</v>
      </c>
      <c r="Q14" s="74">
        <v>1</v>
      </c>
      <c r="R14" s="74"/>
      <c r="S14" s="58" t="s">
        <v>90</v>
      </c>
      <c r="T14" s="57">
        <f>N23</f>
        <v>2.54E-06</v>
      </c>
      <c r="U14" s="58" t="s">
        <v>134</v>
      </c>
      <c r="V14" s="58" t="s">
        <v>90</v>
      </c>
      <c r="W14" s="57">
        <f>T14</f>
        <v>2.54E-06</v>
      </c>
      <c r="X14" s="58" t="s">
        <v>134</v>
      </c>
      <c r="Y14" s="58" t="s">
        <v>90</v>
      </c>
      <c r="Z14" s="57">
        <f>T14</f>
        <v>2.54E-06</v>
      </c>
      <c r="AA14" s="58" t="s">
        <v>134</v>
      </c>
      <c r="AB14" s="58"/>
      <c r="AC14" s="58"/>
      <c r="AD14" s="58"/>
      <c r="AE14" s="58" t="s">
        <v>135</v>
      </c>
      <c r="AF14" s="58">
        <v>1</v>
      </c>
      <c r="AG14" s="58"/>
      <c r="AH14" s="58"/>
      <c r="AI14" s="58"/>
      <c r="AJ14" s="58"/>
      <c r="AK14" s="72" t="s">
        <v>132</v>
      </c>
      <c r="AL14" s="59">
        <v>15</v>
      </c>
      <c r="AM14" s="77"/>
      <c r="AN14" s="72" t="s">
        <v>132</v>
      </c>
      <c r="AO14" s="59">
        <v>15</v>
      </c>
      <c r="AP14" s="77"/>
      <c r="AQ14" s="72" t="s">
        <v>132</v>
      </c>
      <c r="AR14" s="59">
        <v>15</v>
      </c>
      <c r="AS14" s="77"/>
      <c r="AT14" t="s">
        <v>90</v>
      </c>
      <c r="AU14" s="70">
        <f>0.00000254</f>
        <v>2.54E-06</v>
      </c>
      <c r="AV14" s="74" t="s">
        <v>136</v>
      </c>
      <c r="AW14" t="s">
        <v>90</v>
      </c>
      <c r="AX14" s="70">
        <f>0.00000227</f>
        <v>2.27E-06</v>
      </c>
      <c r="AY14" s="74" t="s">
        <v>136</v>
      </c>
      <c r="AZ14" t="s">
        <v>90</v>
      </c>
      <c r="BA14" s="70">
        <f>0.00000254</f>
        <v>2.54E-06</v>
      </c>
      <c r="BB14" s="74" t="s">
        <v>136</v>
      </c>
      <c r="BC14" t="s">
        <v>90</v>
      </c>
      <c r="BD14" s="70">
        <f>0.00000227</f>
        <v>2.27E-06</v>
      </c>
      <c r="BE14" s="74" t="s">
        <v>136</v>
      </c>
      <c r="BF14" t="s">
        <v>90</v>
      </c>
      <c r="BG14" s="70">
        <f>AU14</f>
        <v>2.54E-06</v>
      </c>
      <c r="BH14" s="74" t="s">
        <v>136</v>
      </c>
      <c r="BI14" t="s">
        <v>90</v>
      </c>
      <c r="BJ14" s="70">
        <f>AX14</f>
        <v>2.27E-06</v>
      </c>
      <c r="BK14" s="74" t="s">
        <v>136</v>
      </c>
      <c r="BL14" t="s">
        <v>90</v>
      </c>
      <c r="BM14" s="70">
        <f>BG14</f>
        <v>2.54E-06</v>
      </c>
      <c r="BN14" s="74" t="s">
        <v>136</v>
      </c>
      <c r="BO14" t="s">
        <v>90</v>
      </c>
      <c r="BP14" s="70">
        <f>BJ14</f>
        <v>2.27E-06</v>
      </c>
      <c r="BQ14" s="74" t="s">
        <v>136</v>
      </c>
      <c r="BR14" s="61" t="s">
        <v>90</v>
      </c>
      <c r="BS14" s="68">
        <f>BM14</f>
        <v>2.54E-06</v>
      </c>
      <c r="BT14" s="61" t="s">
        <v>138</v>
      </c>
      <c r="BU14" s="61" t="s">
        <v>90</v>
      </c>
      <c r="BV14" s="68">
        <f>BP14</f>
        <v>2.27E-06</v>
      </c>
      <c r="BW14" s="61" t="s">
        <v>138</v>
      </c>
      <c r="BX14" s="61"/>
      <c r="BY14" s="68"/>
      <c r="BZ14" s="61"/>
    </row>
    <row r="15" spans="1:78" ht="12.75">
      <c r="A15" t="s">
        <v>139</v>
      </c>
      <c r="B15" s="57">
        <v>6</v>
      </c>
      <c r="C15" t="s">
        <v>53</v>
      </c>
      <c r="D15" t="s">
        <v>140</v>
      </c>
      <c r="E15" s="57">
        <f>(E5)/((E10/E11)*E7*E8*E9*E12)</f>
        <v>0.7469654528478058</v>
      </c>
      <c r="F15" t="s">
        <v>33</v>
      </c>
      <c r="G15" s="58" t="s">
        <v>141</v>
      </c>
      <c r="H15" s="63">
        <f>H11-H9</f>
        <v>24</v>
      </c>
      <c r="I15" s="74" t="s">
        <v>76</v>
      </c>
      <c r="J15" s="74"/>
      <c r="K15" s="74"/>
      <c r="L15" s="74"/>
      <c r="M15" s="58" t="s">
        <v>101</v>
      </c>
      <c r="N15" s="65">
        <f>30-N12</f>
        <v>24</v>
      </c>
      <c r="P15" t="s">
        <v>142</v>
      </c>
      <c r="Q15">
        <v>30</v>
      </c>
      <c r="S15" s="58" t="s">
        <v>143</v>
      </c>
      <c r="T15" s="57">
        <v>1360000000</v>
      </c>
      <c r="U15" s="58" t="s">
        <v>144</v>
      </c>
      <c r="V15" s="58" t="s">
        <v>143</v>
      </c>
      <c r="W15" s="57">
        <v>1360000000</v>
      </c>
      <c r="X15" s="58" t="s">
        <v>144</v>
      </c>
      <c r="Y15" s="58" t="s">
        <v>143</v>
      </c>
      <c r="Z15" s="57">
        <v>1360000000</v>
      </c>
      <c r="AA15" s="58" t="s">
        <v>144</v>
      </c>
      <c r="AB15" s="58"/>
      <c r="AC15" s="58"/>
      <c r="AD15" s="58"/>
      <c r="AE15" s="58" t="s">
        <v>145</v>
      </c>
      <c r="AF15" s="57">
        <f>AL27</f>
        <v>0.2</v>
      </c>
      <c r="AG15" s="58"/>
      <c r="AH15" s="58"/>
      <c r="AI15" s="58"/>
      <c r="AJ15" s="58"/>
      <c r="AK15" s="72" t="s">
        <v>146</v>
      </c>
      <c r="AL15" s="59">
        <v>34</v>
      </c>
      <c r="AM15" s="59"/>
      <c r="AN15" s="72" t="s">
        <v>146</v>
      </c>
      <c r="AO15" s="59">
        <v>34</v>
      </c>
      <c r="AP15" s="59"/>
      <c r="AQ15" s="72" t="s">
        <v>146</v>
      </c>
      <c r="AR15" s="59">
        <v>34</v>
      </c>
      <c r="AS15" s="59"/>
      <c r="AT15" t="s">
        <v>147</v>
      </c>
      <c r="AU15">
        <v>0.683</v>
      </c>
      <c r="AV15" t="s">
        <v>128</v>
      </c>
      <c r="AW15" t="s">
        <v>147</v>
      </c>
      <c r="AX15">
        <v>0.683</v>
      </c>
      <c r="AY15" t="s">
        <v>128</v>
      </c>
      <c r="BF15" s="74" t="s">
        <v>130</v>
      </c>
      <c r="BG15">
        <v>8</v>
      </c>
      <c r="BH15" s="74" t="s">
        <v>129</v>
      </c>
      <c r="BI15" s="74" t="s">
        <v>130</v>
      </c>
      <c r="BJ15">
        <v>8</v>
      </c>
      <c r="BK15" s="74" t="s">
        <v>129</v>
      </c>
      <c r="BL15" s="74" t="s">
        <v>130</v>
      </c>
      <c r="BM15">
        <v>8</v>
      </c>
      <c r="BN15" s="74" t="s">
        <v>129</v>
      </c>
      <c r="BO15" s="74" t="s">
        <v>130</v>
      </c>
      <c r="BP15">
        <v>8</v>
      </c>
      <c r="BQ15" s="74" t="s">
        <v>129</v>
      </c>
      <c r="BR15" s="74" t="s">
        <v>130</v>
      </c>
      <c r="BS15">
        <v>8</v>
      </c>
      <c r="BT15" s="74" t="s">
        <v>129</v>
      </c>
      <c r="BU15" s="74" t="s">
        <v>130</v>
      </c>
      <c r="BV15">
        <v>8</v>
      </c>
      <c r="BW15" s="74" t="s">
        <v>129</v>
      </c>
      <c r="BX15" s="61"/>
      <c r="BY15" s="61"/>
      <c r="BZ15" s="61"/>
    </row>
    <row r="16" spans="1:78" s="64" customFormat="1" ht="12.75">
      <c r="A16" s="64" t="s">
        <v>148</v>
      </c>
      <c r="B16" s="64">
        <v>24</v>
      </c>
      <c r="C16" s="64" t="s">
        <v>53</v>
      </c>
      <c r="D16" t="s">
        <v>149</v>
      </c>
      <c r="E16" s="57">
        <f>(E5)/((E10/E11)*E7*E8*E13*(1/365))</f>
        <v>81.45048814504881</v>
      </c>
      <c r="F16" t="s">
        <v>33</v>
      </c>
      <c r="G16" s="58" t="s">
        <v>150</v>
      </c>
      <c r="H16">
        <v>1</v>
      </c>
      <c r="I16" t="s">
        <v>151</v>
      </c>
      <c r="J16" t="s">
        <v>152</v>
      </c>
      <c r="K16" s="57">
        <f>K5/(K11*K12*K7/8760*K9*K10)</f>
        <v>20132.37727523442</v>
      </c>
      <c r="L16" t="s">
        <v>34</v>
      </c>
      <c r="M16" s="58" t="s">
        <v>153</v>
      </c>
      <c r="N16" s="65">
        <v>100</v>
      </c>
      <c r="O16"/>
      <c r="P16"/>
      <c r="Q16"/>
      <c r="R16"/>
      <c r="S16" s="58" t="s">
        <v>74</v>
      </c>
      <c r="T16" s="70">
        <f>N25</f>
        <v>1.1899999999999999E-11</v>
      </c>
      <c r="U16" s="74" t="s">
        <v>56</v>
      </c>
      <c r="V16" s="58" t="s">
        <v>74</v>
      </c>
      <c r="W16" s="70">
        <f>T16</f>
        <v>1.1899999999999999E-11</v>
      </c>
      <c r="X16" s="74" t="s">
        <v>56</v>
      </c>
      <c r="Y16" s="58" t="s">
        <v>74</v>
      </c>
      <c r="Z16" s="70">
        <f>T16</f>
        <v>1.1899999999999999E-11</v>
      </c>
      <c r="AA16" s="74" t="s">
        <v>56</v>
      </c>
      <c r="AB16" s="74"/>
      <c r="AC16" s="74"/>
      <c r="AD16" s="74"/>
      <c r="AE16" s="74" t="s">
        <v>154</v>
      </c>
      <c r="AF16" s="74">
        <v>0.25</v>
      </c>
      <c r="AG16" s="74"/>
      <c r="AH16" s="74"/>
      <c r="AI16" s="74"/>
      <c r="AJ16" s="74"/>
      <c r="AK16" s="72" t="s">
        <v>155</v>
      </c>
      <c r="AL16" s="59">
        <v>100</v>
      </c>
      <c r="AM16" s="59"/>
      <c r="AN16" s="72" t="s">
        <v>155</v>
      </c>
      <c r="AO16" s="59">
        <v>100</v>
      </c>
      <c r="AP16" s="59"/>
      <c r="AQ16" s="72" t="s">
        <v>155</v>
      </c>
      <c r="AR16" s="59">
        <v>100</v>
      </c>
      <c r="AS16" s="59"/>
      <c r="BR16" s="62"/>
      <c r="BS16" s="62"/>
      <c r="BT16" s="62"/>
      <c r="BU16" s="62"/>
      <c r="BV16" s="62"/>
      <c r="BW16" s="62"/>
      <c r="BX16" s="62"/>
      <c r="BY16" s="62"/>
      <c r="BZ16" s="62"/>
    </row>
    <row r="17" spans="1:78" ht="12.75">
      <c r="A17" s="64" t="s">
        <v>118</v>
      </c>
      <c r="B17" s="57">
        <f>0.00000000239</f>
        <v>2.3900000000000002E-09</v>
      </c>
      <c r="C17" s="64" t="s">
        <v>119</v>
      </c>
      <c r="D17" t="s">
        <v>140</v>
      </c>
      <c r="E17" s="57">
        <f>(E5*E6*E8)/((E10/E11)*(1-EXP(-E6*E8))*E9*E12*E7*E8)</f>
        <v>0.9832970479158759</v>
      </c>
      <c r="F17" t="s">
        <v>35</v>
      </c>
      <c r="G17" s="58" t="s">
        <v>156</v>
      </c>
      <c r="H17">
        <v>1</v>
      </c>
      <c r="I17" t="s">
        <v>151</v>
      </c>
      <c r="J17" t="s">
        <v>157</v>
      </c>
      <c r="K17" s="57">
        <f>K5/(K6*K12*K8*K13*K10)</f>
        <v>0.7832080200501252</v>
      </c>
      <c r="L17" t="s">
        <v>34</v>
      </c>
      <c r="M17" s="58" t="s">
        <v>158</v>
      </c>
      <c r="N17" s="75">
        <v>70</v>
      </c>
      <c r="O17" s="64"/>
      <c r="P17" s="64" t="s">
        <v>159</v>
      </c>
      <c r="Q17" s="64">
        <v>100</v>
      </c>
      <c r="R17" s="64"/>
      <c r="S17" s="58" t="s">
        <v>130</v>
      </c>
      <c r="T17">
        <v>8</v>
      </c>
      <c r="U17" s="74"/>
      <c r="V17" s="58" t="s">
        <v>130</v>
      </c>
      <c r="W17">
        <v>8</v>
      </c>
      <c r="X17" s="74"/>
      <c r="Y17" s="58" t="s">
        <v>130</v>
      </c>
      <c r="Z17">
        <v>8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72" t="s">
        <v>158</v>
      </c>
      <c r="AL17" s="59">
        <v>70</v>
      </c>
      <c r="AM17" s="66"/>
      <c r="AN17" s="72" t="s">
        <v>158</v>
      </c>
      <c r="AO17" s="59">
        <v>70</v>
      </c>
      <c r="AP17" s="66"/>
      <c r="AQ17" s="72" t="s">
        <v>158</v>
      </c>
      <c r="AR17" s="59">
        <v>70</v>
      </c>
      <c r="AS17" s="66"/>
      <c r="AT17" s="17" t="s">
        <v>10</v>
      </c>
      <c r="AU17" s="17" t="s">
        <v>160</v>
      </c>
      <c r="AV17" s="17" t="s">
        <v>337</v>
      </c>
      <c r="AW17" s="17" t="s">
        <v>10</v>
      </c>
      <c r="AX17" s="17" t="s">
        <v>161</v>
      </c>
      <c r="AY17" s="17" t="s">
        <v>337</v>
      </c>
      <c r="AZ17" s="5" t="s">
        <v>10</v>
      </c>
      <c r="BA17" s="5" t="s">
        <v>162</v>
      </c>
      <c r="BB17" s="5" t="s">
        <v>337</v>
      </c>
      <c r="BC17" s="5" t="s">
        <v>10</v>
      </c>
      <c r="BD17" s="5" t="s">
        <v>161</v>
      </c>
      <c r="BE17" s="5" t="s">
        <v>337</v>
      </c>
      <c r="BF17" s="18" t="s">
        <v>10</v>
      </c>
      <c r="BG17" s="18" t="s">
        <v>160</v>
      </c>
      <c r="BH17" s="18" t="s">
        <v>337</v>
      </c>
      <c r="BI17" s="18" t="s">
        <v>10</v>
      </c>
      <c r="BJ17" s="18" t="s">
        <v>161</v>
      </c>
      <c r="BK17" s="18" t="s">
        <v>337</v>
      </c>
      <c r="BL17" s="19" t="s">
        <v>10</v>
      </c>
      <c r="BM17" s="19" t="s">
        <v>160</v>
      </c>
      <c r="BN17" s="19" t="s">
        <v>337</v>
      </c>
      <c r="BO17" s="19" t="s">
        <v>10</v>
      </c>
      <c r="BP17" s="19" t="s">
        <v>161</v>
      </c>
      <c r="BQ17" s="19" t="s">
        <v>337</v>
      </c>
      <c r="BR17" s="20" t="s">
        <v>10</v>
      </c>
      <c r="BS17" s="20" t="s">
        <v>160</v>
      </c>
      <c r="BT17" s="20" t="s">
        <v>337</v>
      </c>
      <c r="BU17" s="20" t="s">
        <v>10</v>
      </c>
      <c r="BV17" s="20" t="s">
        <v>161</v>
      </c>
      <c r="BW17" s="20" t="s">
        <v>337</v>
      </c>
      <c r="BX17" s="21" t="s">
        <v>14</v>
      </c>
      <c r="BY17" s="21" t="s">
        <v>337</v>
      </c>
      <c r="BZ17" s="21" t="s">
        <v>163</v>
      </c>
    </row>
    <row r="18" spans="1:78" ht="14.25">
      <c r="A18" s="64" t="s">
        <v>113</v>
      </c>
      <c r="B18" s="64">
        <v>1</v>
      </c>
      <c r="D18" t="s">
        <v>149</v>
      </c>
      <c r="E18" s="57">
        <f>(E5*E6*E8)/((E10/E11)*(1-EXP(-E6*E8))*E13*E7*E8*(1/365))</f>
        <v>107.22052035872652</v>
      </c>
      <c r="F18" t="s">
        <v>35</v>
      </c>
      <c r="H18" s="65">
        <f>1/1000</f>
        <v>0.001</v>
      </c>
      <c r="I18" t="s">
        <v>164</v>
      </c>
      <c r="M18" s="58" t="s">
        <v>82</v>
      </c>
      <c r="N18" s="65">
        <f>(N12*N19+N15*N20)/(N12+N15)</f>
        <v>18</v>
      </c>
      <c r="O18" t="s">
        <v>83</v>
      </c>
      <c r="P18" t="s">
        <v>165</v>
      </c>
      <c r="Q18">
        <v>20</v>
      </c>
      <c r="S18" s="58" t="s">
        <v>166</v>
      </c>
      <c r="T18" s="63">
        <f>1/24</f>
        <v>0.041666666666666664</v>
      </c>
      <c r="V18" s="58" t="s">
        <v>166</v>
      </c>
      <c r="W18" s="63">
        <f>1/24</f>
        <v>0.041666666666666664</v>
      </c>
      <c r="Y18" s="58" t="s">
        <v>166</v>
      </c>
      <c r="Z18" s="63">
        <f>1/24</f>
        <v>0.041666666666666664</v>
      </c>
      <c r="AE18" t="s">
        <v>96</v>
      </c>
      <c r="AF18" s="57">
        <f>AC12/(AF6*((AF11*AF13*AF14*(AF15+AF16))+(AF12*AF13)))</f>
        <v>0.06410087545990181</v>
      </c>
      <c r="AG18" t="s">
        <v>34</v>
      </c>
      <c r="AK18" s="72" t="s">
        <v>167</v>
      </c>
      <c r="AL18" s="59">
        <f>(AL12*AL19+AL15*AL20)/(AL11)</f>
        <v>18.5</v>
      </c>
      <c r="AM18" s="59" t="s">
        <v>83</v>
      </c>
      <c r="AN18" s="72" t="s">
        <v>167</v>
      </c>
      <c r="AO18" s="59">
        <f>(AO12*AO19+AO15*AO20)/(AO11)</f>
        <v>18.5</v>
      </c>
      <c r="AP18" s="59" t="s">
        <v>83</v>
      </c>
      <c r="AQ18" s="72" t="s">
        <v>167</v>
      </c>
      <c r="AR18" s="59">
        <f>(AR12*AR19+AR15*AR20)/(AR11)</f>
        <v>18.5</v>
      </c>
      <c r="AS18" s="59" t="s">
        <v>83</v>
      </c>
      <c r="AT18" s="25"/>
      <c r="AU18" s="17" t="s">
        <v>29</v>
      </c>
      <c r="AV18" s="26" t="s">
        <v>22</v>
      </c>
      <c r="AW18" s="25"/>
      <c r="AX18" s="17" t="s">
        <v>29</v>
      </c>
      <c r="AY18" s="26" t="s">
        <v>168</v>
      </c>
      <c r="AZ18" s="27"/>
      <c r="BA18" s="5" t="s">
        <v>8</v>
      </c>
      <c r="BB18" s="27" t="s">
        <v>22</v>
      </c>
      <c r="BC18" s="27"/>
      <c r="BD18" s="5" t="s">
        <v>8</v>
      </c>
      <c r="BE18" s="27" t="s">
        <v>22</v>
      </c>
      <c r="BF18" s="18" t="s">
        <v>5</v>
      </c>
      <c r="BG18" s="18" t="s">
        <v>30</v>
      </c>
      <c r="BH18" s="28" t="s">
        <v>22</v>
      </c>
      <c r="BI18" s="18" t="s">
        <v>5</v>
      </c>
      <c r="BJ18" s="18" t="s">
        <v>30</v>
      </c>
      <c r="BK18" s="28" t="s">
        <v>168</v>
      </c>
      <c r="BL18" s="19" t="s">
        <v>3</v>
      </c>
      <c r="BM18" s="19" t="s">
        <v>30</v>
      </c>
      <c r="BN18" s="29" t="s">
        <v>22</v>
      </c>
      <c r="BO18" s="19" t="s">
        <v>3</v>
      </c>
      <c r="BP18" s="19" t="s">
        <v>30</v>
      </c>
      <c r="BQ18" s="29" t="s">
        <v>168</v>
      </c>
      <c r="BR18" s="20" t="s">
        <v>31</v>
      </c>
      <c r="BS18" s="20" t="s">
        <v>30</v>
      </c>
      <c r="BT18" s="30" t="s">
        <v>22</v>
      </c>
      <c r="BU18" s="20" t="s">
        <v>31</v>
      </c>
      <c r="BV18" s="20" t="s">
        <v>30</v>
      </c>
      <c r="BW18" s="30" t="s">
        <v>168</v>
      </c>
      <c r="BX18" s="21" t="s">
        <v>22</v>
      </c>
      <c r="BY18" s="21" t="s">
        <v>29</v>
      </c>
      <c r="BZ18" s="21" t="s">
        <v>32</v>
      </c>
    </row>
    <row r="19" spans="1:78" ht="14.25">
      <c r="A19" t="s">
        <v>140</v>
      </c>
      <c r="B19" s="57">
        <f>(B5)/((B13/B14)*B7*B8*B9*B10)</f>
        <v>0.4446222933617892</v>
      </c>
      <c r="C19" t="s">
        <v>33</v>
      </c>
      <c r="H19">
        <v>1000</v>
      </c>
      <c r="I19" t="s">
        <v>169</v>
      </c>
      <c r="M19" s="58" t="s">
        <v>100</v>
      </c>
      <c r="N19" s="75">
        <v>10</v>
      </c>
      <c r="O19" s="75" t="s">
        <v>83</v>
      </c>
      <c r="P19" s="75"/>
      <c r="Q19" s="75"/>
      <c r="R19" s="75"/>
      <c r="S19" s="63" t="s">
        <v>170</v>
      </c>
      <c r="T19" s="63">
        <v>25</v>
      </c>
      <c r="U19" s="63" t="s">
        <v>78</v>
      </c>
      <c r="V19" s="63" t="s">
        <v>170</v>
      </c>
      <c r="W19" s="63">
        <v>25</v>
      </c>
      <c r="X19" s="63" t="s">
        <v>78</v>
      </c>
      <c r="Y19" s="63" t="s">
        <v>170</v>
      </c>
      <c r="Z19" s="63">
        <v>25</v>
      </c>
      <c r="AA19" s="63" t="s">
        <v>78</v>
      </c>
      <c r="AB19" s="63"/>
      <c r="AC19" s="63"/>
      <c r="AD19" s="63"/>
      <c r="AE19" s="63" t="s">
        <v>104</v>
      </c>
      <c r="AF19" s="70">
        <f>AC13/(AF5*((AF7*AF9*AF10*(AF15+AF16))+(AF8*AF9)))</f>
        <v>21.36695848663394</v>
      </c>
      <c r="AG19" s="63" t="s">
        <v>34</v>
      </c>
      <c r="AH19" s="63"/>
      <c r="AI19" s="63"/>
      <c r="AJ19" s="63"/>
      <c r="AK19" s="72" t="s">
        <v>171</v>
      </c>
      <c r="AL19" s="78">
        <v>10</v>
      </c>
      <c r="AM19" s="78" t="s">
        <v>83</v>
      </c>
      <c r="AN19" s="72" t="s">
        <v>171</v>
      </c>
      <c r="AO19" s="78">
        <v>10</v>
      </c>
      <c r="AP19" s="78" t="s">
        <v>83</v>
      </c>
      <c r="AQ19" s="72" t="s">
        <v>171</v>
      </c>
      <c r="AR19" s="78">
        <v>10</v>
      </c>
      <c r="AS19" s="78" t="s">
        <v>83</v>
      </c>
      <c r="AT19" s="17" t="s">
        <v>36</v>
      </c>
      <c r="AU19" s="25">
        <f>(AU21*AU22*AU23)/((1-EXP(-AU23*AU22))*AU25*AU30*(AU24/365)*AU28*((AU29)+(AU31*AU26)))</f>
        <v>489.8454266157464</v>
      </c>
      <c r="AV19" s="26" t="s">
        <v>34</v>
      </c>
      <c r="AW19" s="17" t="s">
        <v>36</v>
      </c>
      <c r="AX19" s="25">
        <f>(AX21*AX22*AX23)/((1-EXP(-AX23*AX22))*AX25*AX30*(AX24/365)*AX28*((AX29)+(AX31*AX26)))</f>
        <v>0.31144745809687796</v>
      </c>
      <c r="AY19" s="26" t="s">
        <v>34</v>
      </c>
      <c r="AZ19" s="5" t="s">
        <v>36</v>
      </c>
      <c r="BA19" s="39">
        <f>(BA21*BA22*BA23)/(BA25*(1-EXP(-BA23*BA22))*BA30*(BA24/365)*BA28*BA29/24*BA27)</f>
        <v>2549.581625673664</v>
      </c>
      <c r="BB19" s="27" t="s">
        <v>34</v>
      </c>
      <c r="BC19" s="5" t="s">
        <v>36</v>
      </c>
      <c r="BD19" s="39">
        <f>(BD21*BD22*BD23)/(BD25*(1-EXP(-BD23*BD22))*BD30*(BD24/365)*BD28*BD29/24*BD27)</f>
        <v>1.622916398267716</v>
      </c>
      <c r="BE19" s="27" t="s">
        <v>34</v>
      </c>
      <c r="BF19" s="18" t="s">
        <v>36</v>
      </c>
      <c r="BG19" s="51">
        <f>(BG21*BG22*BG23)/((1-EXP(-BG23*BG22))*BG25*BG30*(BG24/365)*BG28*(BG31/24)*BG26)</f>
        <v>2029.1480081825375</v>
      </c>
      <c r="BH19" s="28" t="s">
        <v>34</v>
      </c>
      <c r="BI19" s="18" t="s">
        <v>36</v>
      </c>
      <c r="BJ19" s="51">
        <f>(BJ21*BJ22*BJ23)/((1-EXP(-BJ23*BJ22))*BJ25*BJ30*(BJ24/365)*BJ28*(BJ31/24)*BJ26)</f>
        <v>1.2916384177822053</v>
      </c>
      <c r="BK19" s="28" t="s">
        <v>34</v>
      </c>
      <c r="BL19" s="19" t="s">
        <v>36</v>
      </c>
      <c r="BM19" s="52">
        <f>(BM21*BM22*BM23)/((1-EXP(-BM23*BM22))*BM25*BM30*(BM24/365)*BM28*(BM31/24)*BM27)</f>
        <v>901.8435591922391</v>
      </c>
      <c r="BN19" s="29" t="s">
        <v>34</v>
      </c>
      <c r="BO19" s="19" t="s">
        <v>36</v>
      </c>
      <c r="BP19" s="52">
        <f>(BP21*BP22*BP23)/((1-EXP(-BP23*BP22))*BP25*BP30*(BP24/365)*BP28*(BP31/24)*BP27)</f>
        <v>0.5740615190143135</v>
      </c>
      <c r="BQ19" s="29" t="s">
        <v>34</v>
      </c>
      <c r="BR19" s="20"/>
      <c r="BS19" s="53">
        <f>(BS21*BS22*BS23)/((1-EXP(-BS23*BS22))*BS25*BS30*(BS24/365)*BS28*(BS31/24)*BS27)</f>
        <v>811.6592032730151</v>
      </c>
      <c r="BT19" s="30" t="s">
        <v>34</v>
      </c>
      <c r="BU19" s="20"/>
      <c r="BV19" s="53">
        <f>(BV21*BV22*BV23)/((1-EXP(-BV23*BV22))*BV25*BV30*(BV24/365)*BV28*(BV31/24)*BV27)</f>
        <v>0.5166553671128822</v>
      </c>
      <c r="BW19" s="30" t="s">
        <v>34</v>
      </c>
      <c r="BX19" s="79">
        <f>(BY21*BY28*BY33*BY27*10^-3*BY26*BY23)/(BY25*BY36*(1-EXP(-BY23*BY26)))</f>
        <v>22.485438770425382</v>
      </c>
      <c r="BY19" s="55" t="s">
        <v>34</v>
      </c>
      <c r="BZ19" s="21" t="s">
        <v>37</v>
      </c>
    </row>
    <row r="20" spans="1:78" ht="12.75">
      <c r="A20" t="s">
        <v>149</v>
      </c>
      <c r="B20" s="57">
        <f>(B5)/((B13/B14)*B7*B8*B17*(1/365)*B18)</f>
        <v>14.544730025901572</v>
      </c>
      <c r="C20" t="s">
        <v>33</v>
      </c>
      <c r="D20" s="2" t="s">
        <v>2</v>
      </c>
      <c r="E20" s="2" t="s">
        <v>5</v>
      </c>
      <c r="F20" s="2" t="s">
        <v>337</v>
      </c>
      <c r="G20" t="s">
        <v>172</v>
      </c>
      <c r="H20">
        <v>1</v>
      </c>
      <c r="I20" t="s">
        <v>173</v>
      </c>
      <c r="M20" s="58" t="s">
        <v>108</v>
      </c>
      <c r="N20" s="75">
        <v>20</v>
      </c>
      <c r="O20" s="75" t="s">
        <v>83</v>
      </c>
      <c r="P20" s="75"/>
      <c r="Q20" s="75"/>
      <c r="R20" s="75"/>
      <c r="S20" s="63" t="s">
        <v>46</v>
      </c>
      <c r="T20" s="70">
        <f>N35</f>
        <v>0.023100000000000002</v>
      </c>
      <c r="V20" s="63" t="s">
        <v>46</v>
      </c>
      <c r="W20" s="70">
        <f>T20</f>
        <v>0.023100000000000002</v>
      </c>
      <c r="Y20" s="63" t="s">
        <v>46</v>
      </c>
      <c r="Z20" s="70">
        <f>T20</f>
        <v>0.023100000000000002</v>
      </c>
      <c r="AK20" s="72" t="s">
        <v>174</v>
      </c>
      <c r="AL20" s="78">
        <v>20</v>
      </c>
      <c r="AM20" s="78" t="s">
        <v>83</v>
      </c>
      <c r="AN20" s="72" t="s">
        <v>174</v>
      </c>
      <c r="AO20" s="78">
        <v>20</v>
      </c>
      <c r="AP20" s="78" t="s">
        <v>83</v>
      </c>
      <c r="AQ20" s="72" t="s">
        <v>174</v>
      </c>
      <c r="AR20" s="78">
        <v>20</v>
      </c>
      <c r="AS20" s="78" t="s">
        <v>83</v>
      </c>
      <c r="AT20" s="17" t="s">
        <v>41</v>
      </c>
      <c r="AU20" s="25"/>
      <c r="AV20" s="26"/>
      <c r="AW20" s="17" t="s">
        <v>41</v>
      </c>
      <c r="AX20" s="25"/>
      <c r="AY20" s="26"/>
      <c r="AZ20" s="5" t="s">
        <v>41</v>
      </c>
      <c r="BA20" s="27"/>
      <c r="BB20" s="27"/>
      <c r="BC20" s="5" t="s">
        <v>41</v>
      </c>
      <c r="BD20" s="27"/>
      <c r="BE20" s="27"/>
      <c r="BF20" s="18" t="s">
        <v>41</v>
      </c>
      <c r="BG20" s="51"/>
      <c r="BH20" s="28"/>
      <c r="BI20" s="18" t="s">
        <v>41</v>
      </c>
      <c r="BJ20" s="51"/>
      <c r="BK20" s="28"/>
      <c r="BL20" s="19" t="s">
        <v>41</v>
      </c>
      <c r="BM20" s="52"/>
      <c r="BN20" s="29"/>
      <c r="BO20" s="19" t="s">
        <v>41</v>
      </c>
      <c r="BP20" s="52"/>
      <c r="BQ20" s="29"/>
      <c r="BR20" s="20" t="s">
        <v>41</v>
      </c>
      <c r="BS20" s="56"/>
      <c r="BT20" s="30"/>
      <c r="BU20" s="20" t="s">
        <v>41</v>
      </c>
      <c r="BV20" s="56"/>
      <c r="BW20" s="30"/>
      <c r="BX20" s="79">
        <f>(BY22*BY28*BY33*BY27*10^-3*BY26*BY23)/(BY25*BY36*(1-EXP(-BY23*BY26)))</f>
        <v>0.16601868628940553</v>
      </c>
      <c r="BY20" s="55" t="s">
        <v>34</v>
      </c>
      <c r="BZ20" s="21" t="s">
        <v>42</v>
      </c>
    </row>
    <row r="21" spans="1:78" ht="12.75">
      <c r="A21" t="s">
        <v>140</v>
      </c>
      <c r="B21" s="57">
        <f>(B5*B8*B6)/((B13/B14)*B7*B8*(1-EXP(-B6*B8))*B9*B10)</f>
        <v>0.6163372181322315</v>
      </c>
      <c r="C21" t="s">
        <v>35</v>
      </c>
      <c r="D21" s="2" t="s">
        <v>16</v>
      </c>
      <c r="E21" s="2" t="s">
        <v>14</v>
      </c>
      <c r="F21" s="2" t="s">
        <v>17</v>
      </c>
      <c r="G21" t="s">
        <v>175</v>
      </c>
      <c r="H21">
        <v>0.58</v>
      </c>
      <c r="I21" t="s">
        <v>173</v>
      </c>
      <c r="M21" s="58" t="s">
        <v>113</v>
      </c>
      <c r="N21" s="75">
        <v>0.4</v>
      </c>
      <c r="O21" s="75"/>
      <c r="P21" s="75"/>
      <c r="Q21" s="75"/>
      <c r="R21" s="75"/>
      <c r="T21" s="63">
        <v>365</v>
      </c>
      <c r="U21" t="s">
        <v>176</v>
      </c>
      <c r="W21" s="63">
        <v>365</v>
      </c>
      <c r="X21" t="s">
        <v>176</v>
      </c>
      <c r="Z21" s="63">
        <v>365</v>
      </c>
      <c r="AA21" t="s">
        <v>176</v>
      </c>
      <c r="AK21" s="72" t="s">
        <v>177</v>
      </c>
      <c r="AL21" s="78">
        <v>0.4</v>
      </c>
      <c r="AM21" s="78"/>
      <c r="AN21" s="72" t="s">
        <v>177</v>
      </c>
      <c r="AO21" s="78">
        <v>0.4</v>
      </c>
      <c r="AP21" s="78"/>
      <c r="AQ21" s="72" t="s">
        <v>177</v>
      </c>
      <c r="AR21" s="78">
        <v>0.4</v>
      </c>
      <c r="AS21" s="78"/>
      <c r="AT21" t="s">
        <v>43</v>
      </c>
      <c r="AU21" s="57">
        <v>1E-06</v>
      </c>
      <c r="AW21" t="s">
        <v>43</v>
      </c>
      <c r="AX21" s="57">
        <v>1E-06</v>
      </c>
      <c r="AZ21" t="s">
        <v>43</v>
      </c>
      <c r="BA21" s="57">
        <v>1E-06</v>
      </c>
      <c r="BC21" t="s">
        <v>43</v>
      </c>
      <c r="BD21" s="57">
        <v>1E-06</v>
      </c>
      <c r="BF21" t="s">
        <v>43</v>
      </c>
      <c r="BG21" s="57">
        <v>1E-06</v>
      </c>
      <c r="BI21" t="s">
        <v>43</v>
      </c>
      <c r="BJ21" s="57">
        <v>1E-06</v>
      </c>
      <c r="BL21" t="s">
        <v>43</v>
      </c>
      <c r="BM21" s="57">
        <v>1E-06</v>
      </c>
      <c r="BO21" t="s">
        <v>43</v>
      </c>
      <c r="BP21" s="57">
        <v>1E-06</v>
      </c>
      <c r="BR21" t="s">
        <v>43</v>
      </c>
      <c r="BS21" s="57">
        <v>1E-06</v>
      </c>
      <c r="BU21" t="s">
        <v>43</v>
      </c>
      <c r="BV21" s="57">
        <v>1E-06</v>
      </c>
      <c r="BX21" s="60" t="s">
        <v>45</v>
      </c>
      <c r="BY21" s="68">
        <f>BY5</f>
        <v>200</v>
      </c>
      <c r="BZ21" s="62" t="s">
        <v>19</v>
      </c>
    </row>
    <row r="22" spans="1:78" ht="12.75">
      <c r="A22" t="s">
        <v>149</v>
      </c>
      <c r="B22" s="57">
        <f>(B5*B8*B6)/((B13/B14)*B7*B8*(1-EXP(-B6*B8))*B17*(1/365)*B18)</f>
        <v>20.161963483360775</v>
      </c>
      <c r="C22" t="s">
        <v>35</v>
      </c>
      <c r="D22" s="2" t="s">
        <v>35</v>
      </c>
      <c r="E22" s="33">
        <f>1/((1/E36)+(1/E37))</f>
        <v>0.8769252444548318</v>
      </c>
      <c r="F22" s="34" t="s">
        <v>34</v>
      </c>
      <c r="G22" s="58" t="str">
        <f>A13</f>
        <v>ET ra</v>
      </c>
      <c r="H22" s="63">
        <f>B13</f>
        <v>24</v>
      </c>
      <c r="I22" s="63" t="str">
        <f>C13</f>
        <v>hrs/day</v>
      </c>
      <c r="J22" s="63"/>
      <c r="K22" s="63"/>
      <c r="L22" s="63"/>
      <c r="M22" s="58" t="s">
        <v>112</v>
      </c>
      <c r="N22" s="75">
        <f>0.877</f>
        <v>0.877</v>
      </c>
      <c r="O22" s="75"/>
      <c r="P22" s="75"/>
      <c r="Q22" s="75"/>
      <c r="R22" s="75"/>
      <c r="S22" s="74" t="s">
        <v>35</v>
      </c>
      <c r="T22" s="65">
        <f>(T19*T20)/(1-EXP(-T20*T19))</f>
        <v>1.3163889228973786</v>
      </c>
      <c r="V22" s="74" t="s">
        <v>35</v>
      </c>
      <c r="W22" s="65">
        <f>(W19*W20)/(1-EXP(-W20*W19))</f>
        <v>1.3163889228973786</v>
      </c>
      <c r="Y22" s="74" t="s">
        <v>35</v>
      </c>
      <c r="Z22" s="65">
        <f>(Z19*Z20)/(1-EXP(-Z20*Z19))</f>
        <v>1.3163889228973786</v>
      </c>
      <c r="AK22" s="72" t="s">
        <v>112</v>
      </c>
      <c r="AL22" s="78">
        <f>N22</f>
        <v>0.877</v>
      </c>
      <c r="AM22" s="78"/>
      <c r="AN22" s="72" t="s">
        <v>112</v>
      </c>
      <c r="AO22" s="78">
        <f>AL22</f>
        <v>0.877</v>
      </c>
      <c r="AP22" s="78"/>
      <c r="AQ22" s="72" t="s">
        <v>112</v>
      </c>
      <c r="AR22" s="78">
        <f>AL22</f>
        <v>0.877</v>
      </c>
      <c r="AS22" s="78"/>
      <c r="AT22" t="s">
        <v>52</v>
      </c>
      <c r="AU22">
        <v>30</v>
      </c>
      <c r="AV22" t="s">
        <v>53</v>
      </c>
      <c r="AW22" t="s">
        <v>52</v>
      </c>
      <c r="AX22">
        <v>30</v>
      </c>
      <c r="AY22" t="s">
        <v>53</v>
      </c>
      <c r="AZ22" t="s">
        <v>52</v>
      </c>
      <c r="BA22">
        <v>30</v>
      </c>
      <c r="BB22" t="s">
        <v>53</v>
      </c>
      <c r="BC22" t="s">
        <v>52</v>
      </c>
      <c r="BD22">
        <v>30</v>
      </c>
      <c r="BE22" t="s">
        <v>53</v>
      </c>
      <c r="BF22" t="s">
        <v>52</v>
      </c>
      <c r="BG22">
        <v>25</v>
      </c>
      <c r="BH22" t="s">
        <v>53</v>
      </c>
      <c r="BI22" t="s">
        <v>52</v>
      </c>
      <c r="BJ22">
        <v>25</v>
      </c>
      <c r="BK22" t="s">
        <v>53</v>
      </c>
      <c r="BL22" t="s">
        <v>52</v>
      </c>
      <c r="BM22">
        <v>25</v>
      </c>
      <c r="BN22" t="s">
        <v>53</v>
      </c>
      <c r="BO22" t="s">
        <v>52</v>
      </c>
      <c r="BP22">
        <v>25</v>
      </c>
      <c r="BQ22" t="s">
        <v>53</v>
      </c>
      <c r="BR22" t="s">
        <v>52</v>
      </c>
      <c r="BS22">
        <v>25</v>
      </c>
      <c r="BT22" t="s">
        <v>53</v>
      </c>
      <c r="BU22" t="s">
        <v>52</v>
      </c>
      <c r="BV22">
        <v>25</v>
      </c>
      <c r="BW22" t="s">
        <v>53</v>
      </c>
      <c r="BX22" s="61" t="s">
        <v>14</v>
      </c>
      <c r="BY22" s="68">
        <f>H3</f>
        <v>1.4766773108983429</v>
      </c>
      <c r="BZ22" s="62" t="s">
        <v>19</v>
      </c>
    </row>
    <row r="23" spans="4:78" ht="12.75">
      <c r="D23" s="2" t="s">
        <v>33</v>
      </c>
      <c r="E23" s="33">
        <f>1/((1/E34)+(1/E35))</f>
        <v>0.6661596958174906</v>
      </c>
      <c r="F23" s="34" t="s">
        <v>34</v>
      </c>
      <c r="H23" s="63"/>
      <c r="M23" s="58" t="s">
        <v>90</v>
      </c>
      <c r="N23" s="57">
        <f>0.00000254</f>
        <v>2.54E-06</v>
      </c>
      <c r="O23" s="58" t="s">
        <v>134</v>
      </c>
      <c r="P23" s="58"/>
      <c r="Q23" s="58"/>
      <c r="R23" s="58"/>
      <c r="T23">
        <v>1000</v>
      </c>
      <c r="U23" t="s">
        <v>178</v>
      </c>
      <c r="W23">
        <v>1000</v>
      </c>
      <c r="X23" t="s">
        <v>178</v>
      </c>
      <c r="Z23">
        <v>1000</v>
      </c>
      <c r="AA23" t="s">
        <v>178</v>
      </c>
      <c r="AK23" s="72" t="s">
        <v>90</v>
      </c>
      <c r="AL23" s="71">
        <f>Z14</f>
        <v>2.54E-06</v>
      </c>
      <c r="AM23" s="72" t="s">
        <v>179</v>
      </c>
      <c r="AN23" s="72" t="s">
        <v>90</v>
      </c>
      <c r="AO23" s="71">
        <f>AL23</f>
        <v>2.54E-06</v>
      </c>
      <c r="AP23" s="72" t="s">
        <v>179</v>
      </c>
      <c r="AQ23" s="72" t="s">
        <v>90</v>
      </c>
      <c r="AR23" s="71">
        <f>AL23</f>
        <v>2.54E-06</v>
      </c>
      <c r="AS23" s="72" t="s">
        <v>179</v>
      </c>
      <c r="AT23" t="s">
        <v>46</v>
      </c>
      <c r="AU23" s="70">
        <f>AU7</f>
        <v>0.023100000000000002</v>
      </c>
      <c r="AW23" t="s">
        <v>46</v>
      </c>
      <c r="AX23" s="70">
        <f>AU7</f>
        <v>0.023100000000000002</v>
      </c>
      <c r="AZ23" t="s">
        <v>46</v>
      </c>
      <c r="BA23" s="70">
        <f>AX23</f>
        <v>0.023100000000000002</v>
      </c>
      <c r="BC23" t="s">
        <v>46</v>
      </c>
      <c r="BD23" s="70">
        <f>BA23</f>
        <v>0.023100000000000002</v>
      </c>
      <c r="BF23" t="s">
        <v>46</v>
      </c>
      <c r="BG23" s="70">
        <f>AX23</f>
        <v>0.023100000000000002</v>
      </c>
      <c r="BI23" t="s">
        <v>46</v>
      </c>
      <c r="BJ23" s="70">
        <f>BG23</f>
        <v>0.023100000000000002</v>
      </c>
      <c r="BL23" t="s">
        <v>46</v>
      </c>
      <c r="BM23" s="70">
        <f>BJ23</f>
        <v>0.023100000000000002</v>
      </c>
      <c r="BO23" t="s">
        <v>46</v>
      </c>
      <c r="BP23" s="70">
        <f>BM7</f>
        <v>0.023100000000000002</v>
      </c>
      <c r="BR23" s="61" t="s">
        <v>46</v>
      </c>
      <c r="BS23" s="68">
        <f>BS7</f>
        <v>0.023100000000000002</v>
      </c>
      <c r="BT23" s="61"/>
      <c r="BU23" s="61" t="s">
        <v>46</v>
      </c>
      <c r="BV23" s="68">
        <f>BS7</f>
        <v>0.023100000000000002</v>
      </c>
      <c r="BW23" s="61"/>
      <c r="BX23" s="61" t="s">
        <v>46</v>
      </c>
      <c r="BY23" s="68">
        <f>BY7</f>
        <v>0.023100000000000002</v>
      </c>
      <c r="BZ23" s="61"/>
    </row>
    <row r="24" spans="1:78" ht="12.75">
      <c r="A24" s="5" t="s">
        <v>0</v>
      </c>
      <c r="B24" s="5"/>
      <c r="C24" s="5" t="s">
        <v>337</v>
      </c>
      <c r="D24" t="s">
        <v>43</v>
      </c>
      <c r="E24" s="57">
        <v>1E-06</v>
      </c>
      <c r="G24" t="s">
        <v>180</v>
      </c>
      <c r="H24" s="65">
        <f>B7</f>
        <v>350</v>
      </c>
      <c r="I24" t="str">
        <f>C7</f>
        <v>day/yr</v>
      </c>
      <c r="M24" s="58" t="s">
        <v>143</v>
      </c>
      <c r="N24" s="57">
        <v>1360000000</v>
      </c>
      <c r="O24" s="58" t="s">
        <v>144</v>
      </c>
      <c r="P24" s="58" t="s">
        <v>143</v>
      </c>
      <c r="Q24" s="57">
        <v>1360000000</v>
      </c>
      <c r="R24" s="58" t="s">
        <v>144</v>
      </c>
      <c r="AK24" s="72" t="s">
        <v>143</v>
      </c>
      <c r="AL24" s="71">
        <v>1360000000</v>
      </c>
      <c r="AM24" s="72" t="s">
        <v>144</v>
      </c>
      <c r="AN24" s="72" t="s">
        <v>143</v>
      </c>
      <c r="AO24" s="71">
        <v>1360000000</v>
      </c>
      <c r="AP24" s="72" t="s">
        <v>144</v>
      </c>
      <c r="AQ24" s="72" t="s">
        <v>143</v>
      </c>
      <c r="AR24" s="71">
        <v>1360000000</v>
      </c>
      <c r="AS24" s="72" t="s">
        <v>144</v>
      </c>
      <c r="AT24" t="s">
        <v>47</v>
      </c>
      <c r="AU24">
        <v>350</v>
      </c>
      <c r="AV24" t="s">
        <v>54</v>
      </c>
      <c r="AW24" t="s">
        <v>47</v>
      </c>
      <c r="AX24">
        <v>350</v>
      </c>
      <c r="AY24" t="s">
        <v>54</v>
      </c>
      <c r="AZ24" t="s">
        <v>47</v>
      </c>
      <c r="BA24">
        <v>350</v>
      </c>
      <c r="BB24" t="s">
        <v>54</v>
      </c>
      <c r="BC24" t="s">
        <v>47</v>
      </c>
      <c r="BD24">
        <v>350</v>
      </c>
      <c r="BE24" t="s">
        <v>54</v>
      </c>
      <c r="BF24" t="s">
        <v>47</v>
      </c>
      <c r="BG24">
        <v>250</v>
      </c>
      <c r="BH24" t="s">
        <v>54</v>
      </c>
      <c r="BI24" t="s">
        <v>47</v>
      </c>
      <c r="BJ24">
        <v>250</v>
      </c>
      <c r="BK24" t="s">
        <v>54</v>
      </c>
      <c r="BL24" t="s">
        <v>47</v>
      </c>
      <c r="BM24">
        <v>225</v>
      </c>
      <c r="BN24" t="s">
        <v>54</v>
      </c>
      <c r="BO24" t="s">
        <v>47</v>
      </c>
      <c r="BP24">
        <v>225</v>
      </c>
      <c r="BQ24" t="s">
        <v>54</v>
      </c>
      <c r="BR24" s="61" t="s">
        <v>47</v>
      </c>
      <c r="BS24" s="61">
        <v>250</v>
      </c>
      <c r="BT24" s="61" t="s">
        <v>54</v>
      </c>
      <c r="BU24" s="61" t="s">
        <v>47</v>
      </c>
      <c r="BV24" s="61">
        <v>250</v>
      </c>
      <c r="BW24" s="61" t="s">
        <v>54</v>
      </c>
      <c r="BX24" s="61" t="s">
        <v>181</v>
      </c>
      <c r="BY24" s="61">
        <v>0.30000000000000004</v>
      </c>
      <c r="BZ24" s="61"/>
    </row>
    <row r="25" spans="1:78" ht="12.75">
      <c r="A25" s="5" t="s">
        <v>182</v>
      </c>
      <c r="B25" s="5" t="s">
        <v>14</v>
      </c>
      <c r="C25" s="5" t="s">
        <v>22</v>
      </c>
      <c r="D25" s="58" t="s">
        <v>46</v>
      </c>
      <c r="E25" s="57">
        <f>B6</f>
        <v>0.023100000000000002</v>
      </c>
      <c r="G25" t="s">
        <v>57</v>
      </c>
      <c r="H25" s="57">
        <f>0.00000000000518</f>
        <v>5.179999999999999E-12</v>
      </c>
      <c r="I25" t="s">
        <v>183</v>
      </c>
      <c r="M25" s="58" t="s">
        <v>74</v>
      </c>
      <c r="N25" s="70">
        <f>B9</f>
        <v>1.1899999999999999E-11</v>
      </c>
      <c r="O25" s="74" t="s">
        <v>56</v>
      </c>
      <c r="P25" s="74"/>
      <c r="Q25" s="74"/>
      <c r="R25" s="74"/>
      <c r="S25" s="58" t="s">
        <v>184</v>
      </c>
      <c r="T25" s="57">
        <f>(T5/(T8*T10*T7*T9*(1/T6)))*T22</f>
        <v>132.88468622307926</v>
      </c>
      <c r="U25" s="58"/>
      <c r="V25" s="58" t="s">
        <v>184</v>
      </c>
      <c r="W25" s="57">
        <f>(W5/(W8*W10*W7*W9*(1/W6)))*W22</f>
        <v>73.82482567948847</v>
      </c>
      <c r="X25" s="58"/>
      <c r="Y25" s="58" t="s">
        <v>184</v>
      </c>
      <c r="Z25" s="57">
        <f>(Z5/(Z8*Z10*Z7*Z9*(1/Z6)))*Z22</f>
        <v>66.44234311153963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72" t="s">
        <v>74</v>
      </c>
      <c r="AL25" s="81">
        <f>Z16</f>
        <v>1.1899999999999999E-11</v>
      </c>
      <c r="AM25" s="77" t="s">
        <v>186</v>
      </c>
      <c r="AN25" s="72" t="s">
        <v>74</v>
      </c>
      <c r="AO25" s="81">
        <f>AL16</f>
        <v>100</v>
      </c>
      <c r="AP25" s="77" t="s">
        <v>186</v>
      </c>
      <c r="AQ25" s="72" t="s">
        <v>74</v>
      </c>
      <c r="AR25" s="81">
        <f>AO16</f>
        <v>100</v>
      </c>
      <c r="AS25" s="77" t="s">
        <v>186</v>
      </c>
      <c r="AT25" t="s">
        <v>50</v>
      </c>
      <c r="AU25">
        <v>30</v>
      </c>
      <c r="AV25" t="s">
        <v>53</v>
      </c>
      <c r="AW25" t="s">
        <v>50</v>
      </c>
      <c r="AX25">
        <v>30</v>
      </c>
      <c r="AY25" t="s">
        <v>53</v>
      </c>
      <c r="AZ25" t="s">
        <v>50</v>
      </c>
      <c r="BA25">
        <v>30</v>
      </c>
      <c r="BB25" t="s">
        <v>53</v>
      </c>
      <c r="BC25" t="s">
        <v>50</v>
      </c>
      <c r="BD25">
        <v>30</v>
      </c>
      <c r="BE25" t="s">
        <v>53</v>
      </c>
      <c r="BF25" t="s">
        <v>50</v>
      </c>
      <c r="BG25">
        <v>25</v>
      </c>
      <c r="BH25" t="s">
        <v>53</v>
      </c>
      <c r="BI25" t="s">
        <v>50</v>
      </c>
      <c r="BJ25">
        <v>25</v>
      </c>
      <c r="BK25" t="s">
        <v>53</v>
      </c>
      <c r="BL25" t="s">
        <v>50</v>
      </c>
      <c r="BM25">
        <v>25</v>
      </c>
      <c r="BN25" t="s">
        <v>53</v>
      </c>
      <c r="BO25" t="s">
        <v>50</v>
      </c>
      <c r="BP25">
        <v>25</v>
      </c>
      <c r="BQ25" t="s">
        <v>53</v>
      </c>
      <c r="BR25" t="s">
        <v>50</v>
      </c>
      <c r="BS25">
        <v>25</v>
      </c>
      <c r="BT25" t="s">
        <v>53</v>
      </c>
      <c r="BU25" t="s">
        <v>50</v>
      </c>
      <c r="BV25">
        <v>25</v>
      </c>
      <c r="BW25" t="s">
        <v>53</v>
      </c>
      <c r="BX25" s="61" t="s">
        <v>187</v>
      </c>
      <c r="BY25" s="68">
        <v>1.5</v>
      </c>
      <c r="BZ25" s="61"/>
    </row>
    <row r="26" spans="1:78" ht="12.75">
      <c r="A26" s="5" t="s">
        <v>182</v>
      </c>
      <c r="B26" s="39">
        <f>B33</f>
        <v>0.04715690990200794</v>
      </c>
      <c r="C26" s="27" t="s">
        <v>34</v>
      </c>
      <c r="D26" t="s">
        <v>47</v>
      </c>
      <c r="E26">
        <v>250</v>
      </c>
      <c r="F26" t="s">
        <v>54</v>
      </c>
      <c r="G26" t="s">
        <v>188</v>
      </c>
      <c r="H26" s="82">
        <f>(H27*H29*H9+H28*H29*H22)/H11</f>
        <v>0.6639999999999999</v>
      </c>
      <c r="I26" t="s">
        <v>129</v>
      </c>
      <c r="M26" s="58" t="s">
        <v>127</v>
      </c>
      <c r="N26" s="57">
        <v>0.073</v>
      </c>
      <c r="O26" s="74"/>
      <c r="P26" s="74"/>
      <c r="Q26" s="74"/>
      <c r="R26" s="74"/>
      <c r="S26" s="58" t="s">
        <v>140</v>
      </c>
      <c r="T26" s="57">
        <f>(T5/(T16*T11*T7*T9*(1/T15)*T17*T18*T23))*T22</f>
        <v>1203555.5866490318</v>
      </c>
      <c r="U26" s="58"/>
      <c r="V26" s="58" t="s">
        <v>140</v>
      </c>
      <c r="W26" s="57">
        <f>(W5/(W16*W11*W7*W9*(1/W15)*W17*W18*W23))*W22</f>
        <v>1337283.9851655911</v>
      </c>
      <c r="X26" s="58"/>
      <c r="Y26" s="58" t="s">
        <v>140</v>
      </c>
      <c r="Z26" s="57">
        <f>(Z5/(Z16*Z11*Z7*Z9*(1/Z15)*Z17*Z18*Z23))*Z22</f>
        <v>1203555.5866490318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72" t="s">
        <v>189</v>
      </c>
      <c r="AL26" s="71">
        <f>0.04</f>
        <v>0.04</v>
      </c>
      <c r="AM26" s="77"/>
      <c r="AN26" s="72"/>
      <c r="AO26" s="59"/>
      <c r="AP26" s="77"/>
      <c r="AQ26" s="72" t="s">
        <v>189</v>
      </c>
      <c r="AR26" s="71">
        <f>AL26</f>
        <v>0.04</v>
      </c>
      <c r="AS26" s="77"/>
      <c r="AT26" t="s">
        <v>98</v>
      </c>
      <c r="AU26">
        <v>0.4</v>
      </c>
      <c r="AW26" t="s">
        <v>98</v>
      </c>
      <c r="AX26">
        <v>0.4</v>
      </c>
      <c r="AZ26" t="s">
        <v>98</v>
      </c>
      <c r="BA26">
        <v>0.4</v>
      </c>
      <c r="BC26" t="s">
        <v>98</v>
      </c>
      <c r="BD26">
        <v>0.4</v>
      </c>
      <c r="BF26" t="s">
        <v>98</v>
      </c>
      <c r="BG26">
        <v>0.4</v>
      </c>
      <c r="BI26" t="s">
        <v>98</v>
      </c>
      <c r="BJ26">
        <v>0.4</v>
      </c>
      <c r="BL26" t="s">
        <v>98</v>
      </c>
      <c r="BM26">
        <v>0.4</v>
      </c>
      <c r="BO26" t="s">
        <v>98</v>
      </c>
      <c r="BP26">
        <v>0.4</v>
      </c>
      <c r="BR26" s="61"/>
      <c r="BS26" s="61"/>
      <c r="BT26" s="61"/>
      <c r="BU26" s="61"/>
      <c r="BV26" s="61"/>
      <c r="BW26" s="61"/>
      <c r="BX26" s="61" t="s">
        <v>52</v>
      </c>
      <c r="BY26" s="61">
        <v>30</v>
      </c>
      <c r="BZ26" s="61"/>
    </row>
    <row r="27" spans="1:78" ht="12.75">
      <c r="A27" s="5"/>
      <c r="B27" s="39" t="s">
        <v>29</v>
      </c>
      <c r="C27" s="27"/>
      <c r="D27" t="s">
        <v>50</v>
      </c>
      <c r="E27">
        <v>25</v>
      </c>
      <c r="F27" t="s">
        <v>53</v>
      </c>
      <c r="G27" t="s">
        <v>190</v>
      </c>
      <c r="H27">
        <v>1</v>
      </c>
      <c r="I27" t="s">
        <v>191</v>
      </c>
      <c r="M27" s="58" t="s">
        <v>147</v>
      </c>
      <c r="N27" s="70">
        <v>0.684</v>
      </c>
      <c r="O27" s="74"/>
      <c r="P27" s="74"/>
      <c r="Q27" s="74"/>
      <c r="R27" s="74"/>
      <c r="S27" s="58" t="s">
        <v>192</v>
      </c>
      <c r="T27" s="57">
        <f>(T5/(T14*T13*T17*T18*T12*T7*(1/T21)*T9))*T22</f>
        <v>0.25883620261856</v>
      </c>
      <c r="U27" s="58"/>
      <c r="V27" s="58" t="s">
        <v>192</v>
      </c>
      <c r="W27" s="57">
        <f>(W5/(W14*W13*W17*W18*W12*W7*(1/W21)*W9))*W22</f>
        <v>0.11503831227491554</v>
      </c>
      <c r="X27" s="58"/>
      <c r="Y27" s="58" t="s">
        <v>192</v>
      </c>
      <c r="Z27" s="57">
        <f>(Z5/(Z14*Z13*Z17*Z18*Z12*Z7*(1/Z21)*Z9))*Z22</f>
        <v>0.10353448104742399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72" t="s">
        <v>145</v>
      </c>
      <c r="AL27" s="81">
        <f>0.2</f>
        <v>0.2</v>
      </c>
      <c r="AM27" s="77"/>
      <c r="AN27" s="72"/>
      <c r="AO27" s="81"/>
      <c r="AP27" s="77"/>
      <c r="AQ27" s="72" t="s">
        <v>145</v>
      </c>
      <c r="AR27" s="81">
        <f>AL27</f>
        <v>0.2</v>
      </c>
      <c r="AS27" s="77"/>
      <c r="AT27" t="s">
        <v>106</v>
      </c>
      <c r="AU27">
        <v>1</v>
      </c>
      <c r="AW27" t="s">
        <v>106</v>
      </c>
      <c r="AX27">
        <v>1</v>
      </c>
      <c r="AZ27" t="s">
        <v>106</v>
      </c>
      <c r="BA27">
        <v>1</v>
      </c>
      <c r="BC27" t="s">
        <v>106</v>
      </c>
      <c r="BD27">
        <v>1</v>
      </c>
      <c r="BF27" t="s">
        <v>106</v>
      </c>
      <c r="BG27">
        <v>1</v>
      </c>
      <c r="BI27" t="s">
        <v>106</v>
      </c>
      <c r="BJ27">
        <v>1</v>
      </c>
      <c r="BL27" t="s">
        <v>106</v>
      </c>
      <c r="BM27">
        <v>1</v>
      </c>
      <c r="BO27" t="s">
        <v>106</v>
      </c>
      <c r="BP27">
        <v>1</v>
      </c>
      <c r="BR27" s="61" t="s">
        <v>106</v>
      </c>
      <c r="BS27" s="61">
        <v>1</v>
      </c>
      <c r="BT27" s="61"/>
      <c r="BU27" s="61" t="s">
        <v>106</v>
      </c>
      <c r="BV27" s="61">
        <v>1</v>
      </c>
      <c r="BW27" s="61"/>
      <c r="BX27" s="61" t="s">
        <v>193</v>
      </c>
      <c r="BY27" s="68">
        <v>70</v>
      </c>
      <c r="BZ27" s="61"/>
    </row>
    <row r="28" spans="1:78" ht="12.75">
      <c r="A28" s="58" t="s">
        <v>43</v>
      </c>
      <c r="B28" s="57">
        <v>1E-06</v>
      </c>
      <c r="D28" t="s">
        <v>74</v>
      </c>
      <c r="E28" s="70">
        <f>B9</f>
        <v>1.1899999999999999E-11</v>
      </c>
      <c r="F28" s="74" t="s">
        <v>56</v>
      </c>
      <c r="G28" t="s">
        <v>194</v>
      </c>
      <c r="H28">
        <v>0.58</v>
      </c>
      <c r="I28" t="s">
        <v>191</v>
      </c>
      <c r="M28" s="58" t="s">
        <v>50</v>
      </c>
      <c r="N28" s="63">
        <v>30</v>
      </c>
      <c r="O28" s="74" t="s">
        <v>76</v>
      </c>
      <c r="P28" s="74"/>
      <c r="Q28" s="74"/>
      <c r="R28" s="74"/>
      <c r="S28" s="58"/>
      <c r="T28" s="63"/>
      <c r="U28" s="74"/>
      <c r="V28" s="58"/>
      <c r="W28" s="63"/>
      <c r="X28" s="74"/>
      <c r="Y28" s="58"/>
      <c r="Z28" s="6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2" t="s">
        <v>105</v>
      </c>
      <c r="AL28" s="73">
        <v>40</v>
      </c>
      <c r="AM28" s="77" t="s">
        <v>76</v>
      </c>
      <c r="AN28" s="72" t="s">
        <v>105</v>
      </c>
      <c r="AO28" s="73">
        <v>40</v>
      </c>
      <c r="AP28" s="77" t="s">
        <v>76</v>
      </c>
      <c r="AQ28" s="72" t="s">
        <v>105</v>
      </c>
      <c r="AR28" s="73">
        <v>40</v>
      </c>
      <c r="AS28" s="77" t="s">
        <v>76</v>
      </c>
      <c r="AT28" t="s">
        <v>112</v>
      </c>
      <c r="AU28" s="65">
        <f>AU12</f>
        <v>0.877</v>
      </c>
      <c r="AW28" t="s">
        <v>112</v>
      </c>
      <c r="AX28" s="65">
        <f>AU12</f>
        <v>0.877</v>
      </c>
      <c r="AZ28" t="s">
        <v>112</v>
      </c>
      <c r="BA28" s="100">
        <f>BA12</f>
        <v>0.17500000000000002</v>
      </c>
      <c r="BC28" t="s">
        <v>112</v>
      </c>
      <c r="BD28" s="100">
        <f>BA12</f>
        <v>0.17500000000000002</v>
      </c>
      <c r="BF28" t="s">
        <v>112</v>
      </c>
      <c r="BG28" s="65">
        <f>AU28</f>
        <v>0.877</v>
      </c>
      <c r="BI28" t="s">
        <v>112</v>
      </c>
      <c r="BJ28" s="65">
        <f>AX28</f>
        <v>0.877</v>
      </c>
      <c r="BL28" t="s">
        <v>112</v>
      </c>
      <c r="BM28" s="65">
        <f>BG28</f>
        <v>0.877</v>
      </c>
      <c r="BO28" t="s">
        <v>112</v>
      </c>
      <c r="BP28" s="65">
        <f>BJ28</f>
        <v>0.877</v>
      </c>
      <c r="BR28" s="61" t="s">
        <v>112</v>
      </c>
      <c r="BS28" s="61">
        <f>BS12</f>
        <v>0.877</v>
      </c>
      <c r="BT28" s="61"/>
      <c r="BU28" s="61" t="s">
        <v>112</v>
      </c>
      <c r="BV28" s="61">
        <f>BS12</f>
        <v>0.877</v>
      </c>
      <c r="BW28" s="61"/>
      <c r="BX28" s="61" t="s">
        <v>195</v>
      </c>
      <c r="BY28" s="68">
        <f>1+(BY30*BY31*BY32/BY33*BY34)</f>
        <v>1.7379506112711414</v>
      </c>
      <c r="BZ28" s="61"/>
    </row>
    <row r="29" spans="1:78" ht="12.75">
      <c r="A29" s="58" t="s">
        <v>47</v>
      </c>
      <c r="B29" s="63">
        <v>350</v>
      </c>
      <c r="C29" s="58" t="s">
        <v>48</v>
      </c>
      <c r="D29" t="s">
        <v>84</v>
      </c>
      <c r="E29" s="63">
        <v>8</v>
      </c>
      <c r="F29" s="74" t="s">
        <v>85</v>
      </c>
      <c r="G29" t="s">
        <v>196</v>
      </c>
      <c r="H29">
        <v>1</v>
      </c>
      <c r="I29" t="s">
        <v>151</v>
      </c>
      <c r="M29" s="58" t="s">
        <v>87</v>
      </c>
      <c r="N29" s="70">
        <v>24</v>
      </c>
      <c r="O29" s="74" t="s">
        <v>129</v>
      </c>
      <c r="P29" s="74"/>
      <c r="Q29" s="74"/>
      <c r="R29" s="74"/>
      <c r="S29" s="58"/>
      <c r="T29" s="70"/>
      <c r="U29" s="74"/>
      <c r="V29" s="58"/>
      <c r="W29" s="70"/>
      <c r="X29" s="74"/>
      <c r="Y29" s="58"/>
      <c r="Z29" s="70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2" t="s">
        <v>197</v>
      </c>
      <c r="AL29" s="81">
        <v>0.507</v>
      </c>
      <c r="AM29" s="77"/>
      <c r="AN29" s="72" t="s">
        <v>197</v>
      </c>
      <c r="AO29" s="81">
        <v>0.507</v>
      </c>
      <c r="AP29" s="77"/>
      <c r="AQ29" s="72" t="s">
        <v>197</v>
      </c>
      <c r="AR29" s="81">
        <v>0.507</v>
      </c>
      <c r="AS29" s="77"/>
      <c r="AT29" t="s">
        <v>127</v>
      </c>
      <c r="AU29">
        <v>0.073</v>
      </c>
      <c r="AV29" t="s">
        <v>128</v>
      </c>
      <c r="AW29" t="s">
        <v>127</v>
      </c>
      <c r="AX29">
        <v>0.073</v>
      </c>
      <c r="AY29" t="s">
        <v>128</v>
      </c>
      <c r="AZ29" t="s">
        <v>87</v>
      </c>
      <c r="BA29">
        <v>8</v>
      </c>
      <c r="BB29" t="s">
        <v>128</v>
      </c>
      <c r="BC29" t="s">
        <v>87</v>
      </c>
      <c r="BD29">
        <v>8</v>
      </c>
      <c r="BE29" t="s">
        <v>128</v>
      </c>
      <c r="BF29" t="s">
        <v>127</v>
      </c>
      <c r="BG29">
        <v>0</v>
      </c>
      <c r="BH29" t="s">
        <v>128</v>
      </c>
      <c r="BI29" t="s">
        <v>127</v>
      </c>
      <c r="BJ29">
        <v>0</v>
      </c>
      <c r="BK29" t="s">
        <v>128</v>
      </c>
      <c r="BL29" t="s">
        <v>127</v>
      </c>
      <c r="BM29">
        <v>0.33</v>
      </c>
      <c r="BN29" t="s">
        <v>128</v>
      </c>
      <c r="BO29" t="s">
        <v>87</v>
      </c>
      <c r="BP29">
        <v>0.33</v>
      </c>
      <c r="BQ29" t="s">
        <v>129</v>
      </c>
      <c r="BR29" s="61" t="s">
        <v>130</v>
      </c>
      <c r="BS29" s="61">
        <v>8</v>
      </c>
      <c r="BT29" s="61" t="s">
        <v>131</v>
      </c>
      <c r="BU29" s="61" t="s">
        <v>130</v>
      </c>
      <c r="BV29" s="61">
        <v>8</v>
      </c>
      <c r="BW29" s="61" t="s">
        <v>131</v>
      </c>
      <c r="BX29" s="61" t="s">
        <v>198</v>
      </c>
      <c r="BY29" s="61">
        <f>BY12</f>
        <v>10</v>
      </c>
      <c r="BZ29" s="61"/>
    </row>
    <row r="30" spans="1:78" ht="12.75">
      <c r="A30" s="58" t="s">
        <v>55</v>
      </c>
      <c r="B30" s="57">
        <f>0.0000000000374</f>
        <v>3.74E-11</v>
      </c>
      <c r="C30" s="58" t="s">
        <v>199</v>
      </c>
      <c r="E30" s="63">
        <v>24</v>
      </c>
      <c r="F30" s="74" t="s">
        <v>85</v>
      </c>
      <c r="G30" s="58" t="s">
        <v>184</v>
      </c>
      <c r="H30" s="57">
        <f>H5/(H24*H11*H7*H8)</f>
        <v>1.740462266778056</v>
      </c>
      <c r="I30" s="83" t="s">
        <v>34</v>
      </c>
      <c r="J30" s="83"/>
      <c r="K30" s="83"/>
      <c r="L30" s="83"/>
      <c r="M30" s="58" t="s">
        <v>166</v>
      </c>
      <c r="N30" s="70">
        <f>1/24</f>
        <v>0.041666666666666664</v>
      </c>
      <c r="O30" s="74" t="s">
        <v>200</v>
      </c>
      <c r="P30" s="74"/>
      <c r="Q30" s="74"/>
      <c r="R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2" t="s">
        <v>201</v>
      </c>
      <c r="AL30" s="81">
        <v>0.417</v>
      </c>
      <c r="AM30" s="77"/>
      <c r="AN30" s="72" t="s">
        <v>201</v>
      </c>
      <c r="AO30" s="81">
        <v>0.417</v>
      </c>
      <c r="AP30" s="77"/>
      <c r="AQ30" s="72" t="s">
        <v>201</v>
      </c>
      <c r="AR30" s="81">
        <v>0.417</v>
      </c>
      <c r="AS30" s="77"/>
      <c r="AT30" t="s">
        <v>90</v>
      </c>
      <c r="AU30" s="70">
        <f>0.000000000324</f>
        <v>3.24E-10</v>
      </c>
      <c r="AV30" s="74" t="s">
        <v>136</v>
      </c>
      <c r="AW30" t="s">
        <v>90</v>
      </c>
      <c r="AX30" s="70">
        <f>0.000000509</f>
        <v>5.089999999999999E-07</v>
      </c>
      <c r="AY30" s="74" t="s">
        <v>136</v>
      </c>
      <c r="AZ30" t="s">
        <v>90</v>
      </c>
      <c r="BA30" s="70">
        <f>0.000000000324</f>
        <v>3.24E-10</v>
      </c>
      <c r="BB30" s="74" t="s">
        <v>136</v>
      </c>
      <c r="BC30" t="s">
        <v>90</v>
      </c>
      <c r="BD30" s="70">
        <f>0.000000509</f>
        <v>5.089999999999999E-07</v>
      </c>
      <c r="BE30" s="74" t="s">
        <v>136</v>
      </c>
      <c r="BF30" t="s">
        <v>90</v>
      </c>
      <c r="BG30" s="70">
        <f>AU30</f>
        <v>3.24E-10</v>
      </c>
      <c r="BH30" s="74" t="s">
        <v>136</v>
      </c>
      <c r="BI30" t="s">
        <v>90</v>
      </c>
      <c r="BJ30" s="70">
        <f>AX30</f>
        <v>5.089999999999999E-07</v>
      </c>
      <c r="BK30" s="74" t="s">
        <v>136</v>
      </c>
      <c r="BL30" t="s">
        <v>90</v>
      </c>
      <c r="BM30" s="70">
        <f>BG30</f>
        <v>3.24E-10</v>
      </c>
      <c r="BN30" s="74" t="s">
        <v>136</v>
      </c>
      <c r="BO30" t="s">
        <v>90</v>
      </c>
      <c r="BP30" s="70">
        <f>BJ30</f>
        <v>5.089999999999999E-07</v>
      </c>
      <c r="BQ30" s="74" t="s">
        <v>136</v>
      </c>
      <c r="BR30" s="61" t="s">
        <v>90</v>
      </c>
      <c r="BS30" s="68">
        <f>BM30</f>
        <v>3.24E-10</v>
      </c>
      <c r="BT30" s="61" t="s">
        <v>138</v>
      </c>
      <c r="BU30" s="61" t="s">
        <v>90</v>
      </c>
      <c r="BV30" s="68">
        <f>BP30</f>
        <v>5.089999999999999E-07</v>
      </c>
      <c r="BW30" s="61" t="s">
        <v>138</v>
      </c>
      <c r="BX30" s="61" t="s">
        <v>120</v>
      </c>
      <c r="BY30" s="84">
        <v>1</v>
      </c>
      <c r="BZ30" s="61" t="s">
        <v>202</v>
      </c>
    </row>
    <row r="31" spans="1:78" ht="12.75">
      <c r="A31" s="58" t="s">
        <v>50</v>
      </c>
      <c r="B31" s="65">
        <v>30</v>
      </c>
      <c r="D31" t="s">
        <v>109</v>
      </c>
      <c r="E31" s="57">
        <v>60</v>
      </c>
      <c r="F31" s="74" t="s">
        <v>83</v>
      </c>
      <c r="G31" s="58" t="s">
        <v>140</v>
      </c>
      <c r="H31" s="57"/>
      <c r="I31" s="74"/>
      <c r="J31" s="74"/>
      <c r="K31" s="74"/>
      <c r="L31" s="74"/>
      <c r="M31" s="58"/>
      <c r="N31" s="63"/>
      <c r="AK31" s="72"/>
      <c r="AL31" s="73"/>
      <c r="AM31" s="59"/>
      <c r="AN31" s="72"/>
      <c r="AO31" s="73"/>
      <c r="AP31" s="59"/>
      <c r="AQ31" s="72"/>
      <c r="AR31" s="73"/>
      <c r="AS31" s="59"/>
      <c r="AT31" t="s">
        <v>147</v>
      </c>
      <c r="AU31">
        <v>0.683</v>
      </c>
      <c r="AV31" t="s">
        <v>128</v>
      </c>
      <c r="AW31" t="s">
        <v>147</v>
      </c>
      <c r="AX31">
        <v>0.684</v>
      </c>
      <c r="AY31" t="s">
        <v>128</v>
      </c>
      <c r="BF31" s="74" t="s">
        <v>130</v>
      </c>
      <c r="BG31">
        <v>8</v>
      </c>
      <c r="BH31" s="74" t="s">
        <v>129</v>
      </c>
      <c r="BI31" s="74" t="s">
        <v>130</v>
      </c>
      <c r="BJ31">
        <v>8</v>
      </c>
      <c r="BK31" s="74" t="s">
        <v>129</v>
      </c>
      <c r="BL31" s="74" t="s">
        <v>130</v>
      </c>
      <c r="BM31">
        <v>8</v>
      </c>
      <c r="BN31" s="74" t="s">
        <v>129</v>
      </c>
      <c r="BO31" s="74" t="s">
        <v>130</v>
      </c>
      <c r="BP31">
        <v>8</v>
      </c>
      <c r="BQ31" s="74" t="s">
        <v>129</v>
      </c>
      <c r="BR31" s="74" t="s">
        <v>130</v>
      </c>
      <c r="BS31">
        <v>8</v>
      </c>
      <c r="BT31" s="74" t="s">
        <v>129</v>
      </c>
      <c r="BU31" s="74" t="s">
        <v>130</v>
      </c>
      <c r="BV31">
        <v>8</v>
      </c>
      <c r="BW31" s="74" t="s">
        <v>129</v>
      </c>
      <c r="BX31" s="61" t="s">
        <v>203</v>
      </c>
      <c r="BY31" s="84">
        <v>1</v>
      </c>
      <c r="BZ31" s="61" t="s">
        <v>204</v>
      </c>
    </row>
    <row r="32" spans="1:78" ht="12.75">
      <c r="A32" s="58" t="s">
        <v>205</v>
      </c>
      <c r="B32" s="57">
        <v>54</v>
      </c>
      <c r="C32" t="s">
        <v>89</v>
      </c>
      <c r="D32" s="64" t="s">
        <v>118</v>
      </c>
      <c r="E32" s="57">
        <f>0.00000000239</f>
        <v>2.3900000000000002E-09</v>
      </c>
      <c r="F32" s="64" t="s">
        <v>119</v>
      </c>
      <c r="G32" t="s">
        <v>206</v>
      </c>
      <c r="H32" s="57">
        <f>H5/(H24*H11*H25/8760*H26*H22/24)</f>
        <v>242558.76235222194</v>
      </c>
      <c r="I32" s="65" t="s">
        <v>34</v>
      </c>
      <c r="J32" s="65"/>
      <c r="K32" s="65"/>
      <c r="L32" s="65"/>
      <c r="M32" s="58" t="s">
        <v>207</v>
      </c>
      <c r="N32" s="63">
        <v>24</v>
      </c>
      <c r="O32" s="63" t="s">
        <v>85</v>
      </c>
      <c r="P32" s="63"/>
      <c r="Q32" s="63"/>
      <c r="R32" s="63"/>
      <c r="S32" s="58"/>
      <c r="T32" s="63"/>
      <c r="U32" s="63"/>
      <c r="V32" s="58"/>
      <c r="W32" s="63"/>
      <c r="X32" s="63"/>
      <c r="Y32" s="58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72" t="s">
        <v>208</v>
      </c>
      <c r="AL32" s="73">
        <v>24</v>
      </c>
      <c r="AM32" s="73" t="s">
        <v>85</v>
      </c>
      <c r="AN32" s="72" t="s">
        <v>208</v>
      </c>
      <c r="AO32" s="73">
        <v>24</v>
      </c>
      <c r="AP32" s="73" t="s">
        <v>85</v>
      </c>
      <c r="AQ32" s="72" t="s">
        <v>208</v>
      </c>
      <c r="AR32" s="73">
        <v>24</v>
      </c>
      <c r="AS32" s="73" t="s">
        <v>85</v>
      </c>
      <c r="BX32" s="61" t="s">
        <v>209</v>
      </c>
      <c r="BY32" s="84">
        <f>((0.0112*BY34*BY34)^0.5)+BY35*(1-EXP((-BY34*BY33)/(BY30*BY31*BY35)))</f>
        <v>0.7379506112711413</v>
      </c>
      <c r="BZ32" s="61" t="s">
        <v>210</v>
      </c>
    </row>
    <row r="33" spans="1:78" ht="12.75">
      <c r="A33" s="58" t="s">
        <v>184</v>
      </c>
      <c r="B33" s="57">
        <f>B28/(B30*B29*B31*B32)</f>
        <v>0.04715690990200794</v>
      </c>
      <c r="C33" s="74"/>
      <c r="D33" s="64" t="s">
        <v>113</v>
      </c>
      <c r="E33" s="64">
        <v>1</v>
      </c>
      <c r="G33" t="s">
        <v>211</v>
      </c>
      <c r="H33" s="65">
        <f>(H5/(H11*H24/365*H35*(N46+N47)*1000*N45))/((H36+H37+H38)/1000)</f>
        <v>9.743559377525857</v>
      </c>
      <c r="I33" s="65" t="s">
        <v>34</v>
      </c>
      <c r="J33" s="65"/>
      <c r="K33" s="65"/>
      <c r="L33" s="65"/>
      <c r="N33" s="63">
        <v>24</v>
      </c>
      <c r="O33" t="s">
        <v>85</v>
      </c>
      <c r="T33" s="63"/>
      <c r="W33" s="63"/>
      <c r="Z33" s="63"/>
      <c r="AK33" s="59"/>
      <c r="AL33" s="73">
        <f>1/24</f>
        <v>0.041666666666666664</v>
      </c>
      <c r="AM33" s="59" t="s">
        <v>212</v>
      </c>
      <c r="AN33" s="59"/>
      <c r="AO33" s="73">
        <f>1/24</f>
        <v>0.041666666666666664</v>
      </c>
      <c r="AP33" s="59" t="s">
        <v>212</v>
      </c>
      <c r="AQ33" s="59"/>
      <c r="AR33" s="73">
        <f>1/24</f>
        <v>0.041666666666666664</v>
      </c>
      <c r="AS33" s="59" t="s">
        <v>212</v>
      </c>
      <c r="AT33" s="17" t="s">
        <v>10</v>
      </c>
      <c r="AU33" s="17" t="s">
        <v>213</v>
      </c>
      <c r="AV33" s="17" t="s">
        <v>337</v>
      </c>
      <c r="AZ33" s="5" t="s">
        <v>10</v>
      </c>
      <c r="BA33" s="5" t="s">
        <v>214</v>
      </c>
      <c r="BB33" s="5" t="s">
        <v>337</v>
      </c>
      <c r="BF33" s="18" t="s">
        <v>10</v>
      </c>
      <c r="BG33" s="18" t="s">
        <v>213</v>
      </c>
      <c r="BH33" s="18" t="s">
        <v>337</v>
      </c>
      <c r="BL33" s="19" t="s">
        <v>10</v>
      </c>
      <c r="BM33" s="19" t="s">
        <v>213</v>
      </c>
      <c r="BN33" s="19" t="s">
        <v>337</v>
      </c>
      <c r="BR33" s="20" t="s">
        <v>10</v>
      </c>
      <c r="BS33" s="20" t="s">
        <v>213</v>
      </c>
      <c r="BT33" s="20" t="s">
        <v>337</v>
      </c>
      <c r="BX33" s="61" t="s">
        <v>215</v>
      </c>
      <c r="BY33" s="84">
        <v>1</v>
      </c>
      <c r="BZ33" s="61" t="s">
        <v>202</v>
      </c>
    </row>
    <row r="34" spans="3:78" ht="12.75">
      <c r="C34" s="74"/>
      <c r="D34" t="s">
        <v>140</v>
      </c>
      <c r="E34" s="57">
        <f>(E24)/((E29/E30)*E26*E27*E28*E31)</f>
        <v>0.6722689075630253</v>
      </c>
      <c r="F34" t="s">
        <v>33</v>
      </c>
      <c r="G34" s="58"/>
      <c r="H34" s="57"/>
      <c r="I34" s="58"/>
      <c r="J34" s="58"/>
      <c r="K34" s="58"/>
      <c r="L34" s="58"/>
      <c r="M34" s="63" t="s">
        <v>216</v>
      </c>
      <c r="N34" s="63">
        <v>30</v>
      </c>
      <c r="O34" s="63" t="s">
        <v>78</v>
      </c>
      <c r="P34" t="s">
        <v>217</v>
      </c>
      <c r="Q34">
        <v>30</v>
      </c>
      <c r="R34" s="63"/>
      <c r="AK34" s="73" t="s">
        <v>218</v>
      </c>
      <c r="AL34" s="73">
        <v>40</v>
      </c>
      <c r="AM34" s="73" t="s">
        <v>78</v>
      </c>
      <c r="AN34" s="73" t="s">
        <v>218</v>
      </c>
      <c r="AO34" s="73">
        <v>40</v>
      </c>
      <c r="AP34" s="73" t="s">
        <v>78</v>
      </c>
      <c r="AQ34" s="73" t="s">
        <v>218</v>
      </c>
      <c r="AR34" s="73">
        <v>40</v>
      </c>
      <c r="AS34" s="73" t="s">
        <v>78</v>
      </c>
      <c r="AT34" s="25"/>
      <c r="AU34" s="17" t="s">
        <v>29</v>
      </c>
      <c r="AV34" s="26" t="s">
        <v>22</v>
      </c>
      <c r="AZ34" s="27"/>
      <c r="BA34" s="5" t="s">
        <v>8</v>
      </c>
      <c r="BB34" s="27" t="s">
        <v>22</v>
      </c>
      <c r="BF34" s="18" t="s">
        <v>5</v>
      </c>
      <c r="BG34" s="18" t="s">
        <v>30</v>
      </c>
      <c r="BH34" s="28" t="s">
        <v>22</v>
      </c>
      <c r="BL34" s="19" t="s">
        <v>3</v>
      </c>
      <c r="BM34" s="19" t="s">
        <v>30</v>
      </c>
      <c r="BN34" s="29" t="s">
        <v>22</v>
      </c>
      <c r="BR34" s="20" t="s">
        <v>31</v>
      </c>
      <c r="BS34" s="20" t="s">
        <v>30</v>
      </c>
      <c r="BT34" s="30" t="s">
        <v>22</v>
      </c>
      <c r="BX34" s="61" t="s">
        <v>219</v>
      </c>
      <c r="BY34" s="84">
        <v>1</v>
      </c>
      <c r="BZ34" s="61" t="s">
        <v>210</v>
      </c>
    </row>
    <row r="35" spans="1:78" ht="12.75">
      <c r="A35" s="5" t="s">
        <v>0</v>
      </c>
      <c r="B35" s="5"/>
      <c r="C35" s="5" t="s">
        <v>337</v>
      </c>
      <c r="D35" t="s">
        <v>149</v>
      </c>
      <c r="E35" s="57">
        <f>(E24)/((E29/E30)*E26*E27*E32*(1/365))</f>
        <v>73.30543933054393</v>
      </c>
      <c r="F35" t="s">
        <v>33</v>
      </c>
      <c r="G35" s="58" t="s">
        <v>58</v>
      </c>
      <c r="H35" s="57">
        <f>0.0000000000374</f>
        <v>3.74E-11</v>
      </c>
      <c r="I35" s="74"/>
      <c r="J35" s="74"/>
      <c r="K35" s="74"/>
      <c r="L35" s="74"/>
      <c r="M35" s="63" t="s">
        <v>46</v>
      </c>
      <c r="N35" s="70">
        <f>0.0231</f>
        <v>0.023100000000000002</v>
      </c>
      <c r="P35" s="63" t="s">
        <v>46</v>
      </c>
      <c r="Q35" s="70">
        <f>N35</f>
        <v>0.023100000000000002</v>
      </c>
      <c r="AK35" s="73" t="s">
        <v>46</v>
      </c>
      <c r="AL35" s="81">
        <f>B6</f>
        <v>0.023100000000000002</v>
      </c>
      <c r="AM35" s="59"/>
      <c r="AN35" s="73" t="s">
        <v>46</v>
      </c>
      <c r="AO35" s="81">
        <f>AL35</f>
        <v>0.023100000000000002</v>
      </c>
      <c r="AP35" s="59"/>
      <c r="AQ35" s="73" t="s">
        <v>46</v>
      </c>
      <c r="AR35" s="81">
        <f>AL35</f>
        <v>0.023100000000000002</v>
      </c>
      <c r="AS35" s="59"/>
      <c r="AT35" s="17" t="s">
        <v>36</v>
      </c>
      <c r="AU35" s="25">
        <f>(AU37*AU38*AU39)/((1-EXP(-AU39*AU38))*AU41*AU46*(AU40/365)*AU44*((AU45)+(AU47*AU42)))</f>
        <v>0.1087054234407547</v>
      </c>
      <c r="AV35" s="26" t="s">
        <v>34</v>
      </c>
      <c r="AZ35" s="5" t="s">
        <v>36</v>
      </c>
      <c r="BA35" s="39">
        <f>(BA37*BA38*BA39)/(BA41*(1-EXP(-BA39*BA38))*BA46*(BA40/365)*BA44*BA45/24*BA43)</f>
        <v>0.5657975662453886</v>
      </c>
      <c r="BB35" s="27" t="s">
        <v>34</v>
      </c>
      <c r="BF35" s="18" t="s">
        <v>36</v>
      </c>
      <c r="BG35" s="51">
        <f>(BG37*BG38*BG39)/((1-EXP(-BG39*BG38))*BG41*BG46*(BG40/365)*BG44*(BG47/24)*BG42)</f>
        <v>0.4503040785281796</v>
      </c>
      <c r="BH35" s="28" t="s">
        <v>34</v>
      </c>
      <c r="BL35" s="19" t="s">
        <v>36</v>
      </c>
      <c r="BM35" s="52">
        <f>(BM37*BM38*BM39)/((1-EXP(-BM39*BM38))*BM41*BM46*(BM40/365)*BM44*(BM47/24)*BM43)</f>
        <v>0.20013514601252433</v>
      </c>
      <c r="BN35" s="29" t="s">
        <v>34</v>
      </c>
      <c r="BR35" s="20"/>
      <c r="BS35" s="53">
        <f>(BS37*BS38*BS39)/((1-EXP(-BS39*BS38))*BS41*BS46*(BS40/365)*BS44*(BS47/24)*BS43)</f>
        <v>0.18012163141127188</v>
      </c>
      <c r="BT35" s="30" t="s">
        <v>34</v>
      </c>
      <c r="BX35" s="61" t="s">
        <v>220</v>
      </c>
      <c r="BY35" s="84">
        <v>1</v>
      </c>
      <c r="BZ35" s="61" t="s">
        <v>210</v>
      </c>
    </row>
    <row r="36" spans="1:78" ht="12.75">
      <c r="A36" s="5" t="s">
        <v>182</v>
      </c>
      <c r="B36" s="5" t="s">
        <v>14</v>
      </c>
      <c r="C36" s="5" t="s">
        <v>19</v>
      </c>
      <c r="D36" t="s">
        <v>140</v>
      </c>
      <c r="E36" s="57">
        <f>(E24*E25*E27)/((E29/E30)*(1-EXP(-E25*E27))*E28*E31*E26*E27)</f>
        <v>0.8849673431242884</v>
      </c>
      <c r="F36" t="s">
        <v>35</v>
      </c>
      <c r="G36" t="s">
        <v>221</v>
      </c>
      <c r="H36" s="57">
        <f>(H39*H40*H41*(1-EXP(-H47*H42)))/(H49*H47)</f>
        <v>1.4298564304940413</v>
      </c>
      <c r="N36" s="63">
        <v>365</v>
      </c>
      <c r="O36" t="s">
        <v>176</v>
      </c>
      <c r="Q36" s="63">
        <v>365</v>
      </c>
      <c r="R36" t="s">
        <v>176</v>
      </c>
      <c r="AK36" s="59"/>
      <c r="AL36" s="73">
        <v>365</v>
      </c>
      <c r="AM36" s="59" t="s">
        <v>176</v>
      </c>
      <c r="AN36" s="59"/>
      <c r="AO36" s="73">
        <v>365</v>
      </c>
      <c r="AP36" s="59" t="s">
        <v>176</v>
      </c>
      <c r="AQ36" s="59"/>
      <c r="AR36" s="73">
        <v>365</v>
      </c>
      <c r="AS36" s="59" t="s">
        <v>176</v>
      </c>
      <c r="AT36" s="17" t="s">
        <v>41</v>
      </c>
      <c r="AU36" s="25"/>
      <c r="AV36" s="26"/>
      <c r="AZ36" s="5" t="s">
        <v>41</v>
      </c>
      <c r="BA36" s="27"/>
      <c r="BB36" s="27"/>
      <c r="BF36" s="18" t="s">
        <v>41</v>
      </c>
      <c r="BG36" s="51"/>
      <c r="BH36" s="28"/>
      <c r="BL36" s="19" t="s">
        <v>41</v>
      </c>
      <c r="BM36" s="52"/>
      <c r="BN36" s="29"/>
      <c r="BO36" s="64"/>
      <c r="BP36" s="64"/>
      <c r="BQ36" s="64"/>
      <c r="BR36" s="20" t="s">
        <v>41</v>
      </c>
      <c r="BS36" s="56"/>
      <c r="BT36" s="30"/>
      <c r="BU36" s="62"/>
      <c r="BV36" s="62"/>
      <c r="BW36" s="62"/>
      <c r="BX36" s="61" t="s">
        <v>222</v>
      </c>
      <c r="BY36" s="84">
        <v>1</v>
      </c>
      <c r="BZ36" s="61" t="s">
        <v>210</v>
      </c>
    </row>
    <row r="37" spans="1:75" ht="12.75">
      <c r="A37" s="5" t="s">
        <v>223</v>
      </c>
      <c r="B37" s="39">
        <f>B47</f>
        <v>1.571896996733598</v>
      </c>
      <c r="C37" s="27"/>
      <c r="D37" t="s">
        <v>149</v>
      </c>
      <c r="E37" s="57">
        <f>(E24*E25*E27)/((E29/E30)*(1-EXP(-E25*E27))*E32*E26*E27*(1/365))</f>
        <v>96.49846832285385</v>
      </c>
      <c r="F37" t="s">
        <v>35</v>
      </c>
      <c r="G37" t="s">
        <v>224</v>
      </c>
      <c r="H37" s="65">
        <f>(H39*H40*H50*(1-EXP(-H47*H42)))/(H49*H47)</f>
        <v>9.294066798211269</v>
      </c>
      <c r="M37" s="74" t="s">
        <v>35</v>
      </c>
      <c r="N37" s="65">
        <f>(N34*N35)/(1-EXP(-N35*N34))</f>
        <v>1.3862040373012021</v>
      </c>
      <c r="P37" s="74" t="s">
        <v>35</v>
      </c>
      <c r="Q37" s="57">
        <f>1-EXP(-Q35*Q34)</f>
        <v>0.4999264043042324</v>
      </c>
      <c r="AK37" s="77" t="s">
        <v>35</v>
      </c>
      <c r="AL37" s="59">
        <f>(AL34*AL35)/(1-EXP(-AL35*AL34))</f>
        <v>1.532155742638409</v>
      </c>
      <c r="AM37" s="59"/>
      <c r="AN37" s="77" t="s">
        <v>35</v>
      </c>
      <c r="AO37" s="59">
        <f>(AO34*AO35)/(1-EXP(-AO35*AO34))</f>
        <v>1.532155742638409</v>
      </c>
      <c r="AP37" s="59"/>
      <c r="AQ37" s="77" t="s">
        <v>35</v>
      </c>
      <c r="AR37" s="59">
        <f>(AR34*AR35)/(1-EXP(-AR35*AR34))</f>
        <v>1.532155742638409</v>
      </c>
      <c r="AS37" s="59"/>
      <c r="AT37" t="s">
        <v>43</v>
      </c>
      <c r="AU37" s="57">
        <v>1E-06</v>
      </c>
      <c r="AZ37" t="s">
        <v>43</v>
      </c>
      <c r="BA37" s="57">
        <v>1E-06</v>
      </c>
      <c r="BF37" t="s">
        <v>43</v>
      </c>
      <c r="BG37" s="57">
        <v>1E-06</v>
      </c>
      <c r="BL37" t="s">
        <v>43</v>
      </c>
      <c r="BM37" s="57">
        <v>1E-06</v>
      </c>
      <c r="BR37" t="s">
        <v>43</v>
      </c>
      <c r="BS37" s="57">
        <v>1E-06</v>
      </c>
      <c r="BU37" s="61"/>
      <c r="BV37" s="61"/>
      <c r="BW37" s="61"/>
    </row>
    <row r="38" spans="1:72" ht="12.75">
      <c r="A38" s="5" t="s">
        <v>225</v>
      </c>
      <c r="B38" s="39" t="s">
        <v>29</v>
      </c>
      <c r="C38" s="27"/>
      <c r="G38" s="58" t="s">
        <v>226</v>
      </c>
      <c r="H38" s="57">
        <f>(H39*H40*H51*H52*(1-EXP(-H48*H43)))/(H45*H48)</f>
        <v>3.642420320634722</v>
      </c>
      <c r="I38" s="74"/>
      <c r="J38" s="74"/>
      <c r="K38" s="74"/>
      <c r="L38" s="74"/>
      <c r="N38">
        <v>1000</v>
      </c>
      <c r="O38" t="s">
        <v>178</v>
      </c>
      <c r="AK38" s="59"/>
      <c r="AL38" s="59">
        <v>1000</v>
      </c>
      <c r="AM38" s="59" t="s">
        <v>178</v>
      </c>
      <c r="AN38" s="59"/>
      <c r="AO38" s="59">
        <v>1000</v>
      </c>
      <c r="AP38" s="59" t="s">
        <v>178</v>
      </c>
      <c r="AQ38" s="59"/>
      <c r="AR38" s="59"/>
      <c r="AS38" s="59"/>
      <c r="AT38" t="s">
        <v>52</v>
      </c>
      <c r="AU38">
        <v>30</v>
      </c>
      <c r="AV38" t="s">
        <v>53</v>
      </c>
      <c r="AZ38" t="s">
        <v>52</v>
      </c>
      <c r="BA38">
        <v>30</v>
      </c>
      <c r="BB38" t="s">
        <v>53</v>
      </c>
      <c r="BF38" t="s">
        <v>52</v>
      </c>
      <c r="BG38">
        <v>25</v>
      </c>
      <c r="BH38" t="s">
        <v>53</v>
      </c>
      <c r="BL38" t="s">
        <v>52</v>
      </c>
      <c r="BM38">
        <v>25</v>
      </c>
      <c r="BN38" t="s">
        <v>53</v>
      </c>
      <c r="BR38" t="s">
        <v>52</v>
      </c>
      <c r="BS38">
        <v>25</v>
      </c>
      <c r="BT38" t="s">
        <v>53</v>
      </c>
    </row>
    <row r="39" spans="1:75" ht="12.75">
      <c r="A39" s="58" t="s">
        <v>43</v>
      </c>
      <c r="B39" s="57">
        <v>1E-06</v>
      </c>
      <c r="D39" s="85" t="s">
        <v>2</v>
      </c>
      <c r="E39" s="85" t="s">
        <v>31</v>
      </c>
      <c r="F39" s="85" t="s">
        <v>337</v>
      </c>
      <c r="G39" s="58" t="s">
        <v>227</v>
      </c>
      <c r="H39">
        <v>3.62</v>
      </c>
      <c r="I39" s="74"/>
      <c r="J39" s="74"/>
      <c r="K39" s="74"/>
      <c r="L39" s="74"/>
      <c r="AK39" s="59"/>
      <c r="AL39" s="59"/>
      <c r="AM39" s="59"/>
      <c r="AN39" s="59"/>
      <c r="AO39" s="59"/>
      <c r="AP39" s="59"/>
      <c r="AQ39" s="59"/>
      <c r="AR39" s="59"/>
      <c r="AS39" s="59"/>
      <c r="AT39" t="s">
        <v>46</v>
      </c>
      <c r="AU39" s="70">
        <f>AU7</f>
        <v>0.023100000000000002</v>
      </c>
      <c r="AZ39" t="s">
        <v>46</v>
      </c>
      <c r="BA39" s="70">
        <f>BA7</f>
        <v>0.023100000000000002</v>
      </c>
      <c r="BF39" t="s">
        <v>46</v>
      </c>
      <c r="BG39" s="70">
        <f>AU39</f>
        <v>0.023100000000000002</v>
      </c>
      <c r="BL39" t="s">
        <v>46</v>
      </c>
      <c r="BM39" s="70">
        <f>BG39</f>
        <v>0.023100000000000002</v>
      </c>
      <c r="BR39" s="61" t="s">
        <v>46</v>
      </c>
      <c r="BS39" s="68">
        <f>BS7</f>
        <v>0.023100000000000002</v>
      </c>
      <c r="BT39" s="61"/>
      <c r="BU39" s="61"/>
      <c r="BV39" s="61"/>
      <c r="BW39" s="61"/>
    </row>
    <row r="40" spans="1:75" ht="12.75">
      <c r="A40" s="58" t="s">
        <v>47</v>
      </c>
      <c r="B40" s="63">
        <v>350</v>
      </c>
      <c r="C40" s="58" t="s">
        <v>48</v>
      </c>
      <c r="D40" s="85" t="s">
        <v>16</v>
      </c>
      <c r="E40" s="85" t="s">
        <v>14</v>
      </c>
      <c r="F40" s="85" t="s">
        <v>17</v>
      </c>
      <c r="G40" s="58" t="s">
        <v>228</v>
      </c>
      <c r="H40">
        <v>0.25</v>
      </c>
      <c r="I40" s="74"/>
      <c r="J40" s="74"/>
      <c r="K40" s="74"/>
      <c r="L40" s="74"/>
      <c r="M40" s="58" t="s">
        <v>184</v>
      </c>
      <c r="N40" s="57">
        <f>(N5/(N9*N10*N8*N11*(1/N6)))*N37</f>
        <v>25.40789686757583</v>
      </c>
      <c r="O40" s="74" t="s">
        <v>34</v>
      </c>
      <c r="P40" s="58" t="s">
        <v>184</v>
      </c>
      <c r="Q40" s="70">
        <f>(Q5*Q34*Q35)/(Q37*Q9*Q17*Q8*Q15/1000)</f>
        <v>30.489476241091</v>
      </c>
      <c r="R40" s="74" t="s">
        <v>34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72" t="s">
        <v>184</v>
      </c>
      <c r="AL40" s="81">
        <f>(AL5/(AL9*AL10*AL6*AL8*AL11))*AL37</f>
        <v>21.978049182195704</v>
      </c>
      <c r="AM40" s="72" t="s">
        <v>34</v>
      </c>
      <c r="AN40" s="72"/>
      <c r="AO40" s="72"/>
      <c r="AP40" s="72"/>
      <c r="AQ40" s="72"/>
      <c r="AR40" s="72"/>
      <c r="AS40" s="72"/>
      <c r="AT40" t="s">
        <v>47</v>
      </c>
      <c r="AU40">
        <v>350</v>
      </c>
      <c r="AV40" t="s">
        <v>54</v>
      </c>
      <c r="AZ40" t="s">
        <v>47</v>
      </c>
      <c r="BA40">
        <v>350</v>
      </c>
      <c r="BB40" t="s">
        <v>54</v>
      </c>
      <c r="BF40" t="s">
        <v>47</v>
      </c>
      <c r="BG40">
        <v>250</v>
      </c>
      <c r="BH40" t="s">
        <v>54</v>
      </c>
      <c r="BL40" t="s">
        <v>47</v>
      </c>
      <c r="BM40">
        <v>225</v>
      </c>
      <c r="BN40" t="s">
        <v>54</v>
      </c>
      <c r="BR40" s="61" t="s">
        <v>47</v>
      </c>
      <c r="BS40" s="61">
        <v>250</v>
      </c>
      <c r="BT40" s="61" t="s">
        <v>54</v>
      </c>
      <c r="BU40" s="61"/>
      <c r="BV40" s="61"/>
      <c r="BW40" s="61"/>
    </row>
    <row r="41" spans="1:78" ht="12.75">
      <c r="A41" s="58" t="s">
        <v>55</v>
      </c>
      <c r="B41" s="57">
        <f>B30</f>
        <v>3.74E-11</v>
      </c>
      <c r="C41" s="58" t="s">
        <v>199</v>
      </c>
      <c r="D41" s="85" t="s">
        <v>35</v>
      </c>
      <c r="E41" s="33">
        <f>1/((1/E55)+(1/E56))</f>
        <v>0.8769252444548318</v>
      </c>
      <c r="F41" s="86" t="s">
        <v>34</v>
      </c>
      <c r="G41" s="58" t="s">
        <v>229</v>
      </c>
      <c r="H41" s="57">
        <f>0.04</f>
        <v>0.04</v>
      </c>
      <c r="I41" s="74"/>
      <c r="J41" s="74"/>
      <c r="K41" s="74"/>
      <c r="L41" s="74"/>
      <c r="M41" s="58" t="s">
        <v>140</v>
      </c>
      <c r="N41" s="57">
        <f>(N5/(N25*N18*N8*N11*(1/N24)*N29*N30*N38))*N37</f>
        <v>838218.616659835</v>
      </c>
      <c r="O41" s="74" t="s">
        <v>34</v>
      </c>
      <c r="P41" s="58" t="s">
        <v>140</v>
      </c>
      <c r="Q41" s="70">
        <f>(Q5*Q34*Q35)/(Q37*Q11*Q18*Q8*Q15*(1/Q24)*Q13/24*1000)</f>
        <v>2263190.264981555</v>
      </c>
      <c r="R41" s="74" t="s">
        <v>34</v>
      </c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 t="s">
        <v>140</v>
      </c>
      <c r="AL41" s="71">
        <f>(AL5/(AL25*AL18*AL8*AL11*(1/AL24)*AL32*AL33*AL38))*AL37</f>
        <v>676075.3414841298</v>
      </c>
      <c r="AM41" s="72" t="s">
        <v>34</v>
      </c>
      <c r="AN41" s="72"/>
      <c r="AO41" s="72"/>
      <c r="AP41" s="72"/>
      <c r="AQ41" s="72"/>
      <c r="AR41" s="72"/>
      <c r="AS41" s="72"/>
      <c r="AT41" t="s">
        <v>50</v>
      </c>
      <c r="AU41">
        <v>30</v>
      </c>
      <c r="AV41" t="s">
        <v>53</v>
      </c>
      <c r="AZ41" t="s">
        <v>50</v>
      </c>
      <c r="BA41">
        <v>30</v>
      </c>
      <c r="BB41" t="s">
        <v>53</v>
      </c>
      <c r="BF41" t="s">
        <v>50</v>
      </c>
      <c r="BG41">
        <v>25</v>
      </c>
      <c r="BH41" t="s">
        <v>53</v>
      </c>
      <c r="BL41" t="s">
        <v>50</v>
      </c>
      <c r="BM41">
        <v>25</v>
      </c>
      <c r="BN41" t="s">
        <v>53</v>
      </c>
      <c r="BR41" t="s">
        <v>50</v>
      </c>
      <c r="BS41">
        <v>25</v>
      </c>
      <c r="BT41" t="s">
        <v>53</v>
      </c>
      <c r="BU41" s="61"/>
      <c r="BV41" s="61"/>
      <c r="BW41" s="61"/>
      <c r="BX41" s="61"/>
      <c r="BY41" s="61"/>
      <c r="BZ41" s="61"/>
    </row>
    <row r="42" spans="1:78" ht="12.75">
      <c r="A42" s="58" t="s">
        <v>50</v>
      </c>
      <c r="B42" s="65">
        <v>30</v>
      </c>
      <c r="D42" s="85" t="s">
        <v>33</v>
      </c>
      <c r="E42" s="33">
        <f>1/((1/E53)+(1/E54))</f>
        <v>0.6661596958174906</v>
      </c>
      <c r="F42" s="86" t="s">
        <v>34</v>
      </c>
      <c r="G42" s="58" t="s">
        <v>230</v>
      </c>
      <c r="H42">
        <v>10950</v>
      </c>
      <c r="I42" s="74"/>
      <c r="J42" s="74"/>
      <c r="K42" s="74"/>
      <c r="L42" s="74"/>
      <c r="M42" s="58" t="s">
        <v>192</v>
      </c>
      <c r="N42" s="57">
        <f>(N5/(N23*N22*(N26+N27*N21)*N8*(1/N36)*N11))*N37</f>
        <v>0.06241210872886255</v>
      </c>
      <c r="O42" s="74" t="s">
        <v>34</v>
      </c>
      <c r="P42" s="58" t="s">
        <v>192</v>
      </c>
      <c r="Q42" s="70">
        <f>(Q5*Q34*Q35)/(Q37*Q10*Q12*Q13/24*Q14*Q8/365*Q15)</f>
        <v>0.3252222231174281</v>
      </c>
      <c r="R42" s="74" t="s">
        <v>34</v>
      </c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72" t="s">
        <v>192</v>
      </c>
      <c r="AL42" s="71">
        <f>(AL5/(AL23*AL22*(AL29+AL30*AL21)*AL8*(1/AL36)*AL11))*AL37</f>
        <v>0.02661358775956977</v>
      </c>
      <c r="AM42" s="72" t="s">
        <v>34</v>
      </c>
      <c r="AN42" s="72"/>
      <c r="AO42" s="72"/>
      <c r="AP42" s="72"/>
      <c r="AQ42" s="72"/>
      <c r="AR42" s="72"/>
      <c r="AS42" s="72"/>
      <c r="AT42" t="s">
        <v>98</v>
      </c>
      <c r="AU42">
        <v>0.4</v>
      </c>
      <c r="AZ42" t="s">
        <v>98</v>
      </c>
      <c r="BA42">
        <v>0.4</v>
      </c>
      <c r="BF42" t="s">
        <v>98</v>
      </c>
      <c r="BG42">
        <v>0.4</v>
      </c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ht="12.75">
      <c r="A43" s="58" t="s">
        <v>205</v>
      </c>
      <c r="B43" s="57">
        <v>54</v>
      </c>
      <c r="C43" t="s">
        <v>89</v>
      </c>
      <c r="D43" t="s">
        <v>43</v>
      </c>
      <c r="E43" s="57">
        <v>1E-06</v>
      </c>
      <c r="F43" s="87"/>
      <c r="G43" s="58" t="s">
        <v>231</v>
      </c>
      <c r="H43">
        <v>60</v>
      </c>
      <c r="M43" s="88" t="s">
        <v>232</v>
      </c>
      <c r="N43" s="89">
        <f>(N5/(N11*N8/365*N7*(N46+N47)*1000*N45))/(N52+N54)</f>
        <v>0.4665977380364339</v>
      </c>
      <c r="O43" s="90" t="s">
        <v>34</v>
      </c>
      <c r="P43" s="90"/>
      <c r="Q43" s="90"/>
      <c r="R43" s="90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72" t="s">
        <v>232</v>
      </c>
      <c r="AL43" s="71">
        <f>AO43/(AL26+AL101)</f>
        <v>0.08405341781231475</v>
      </c>
      <c r="AM43" s="72" t="s">
        <v>34</v>
      </c>
      <c r="AN43" s="72" t="s">
        <v>232</v>
      </c>
      <c r="AO43" s="71">
        <f>AO5/(AO11*AO8/365*AO7*(AO55+AO56)*1000*AO54)</f>
        <v>0.025216025343694423</v>
      </c>
      <c r="AP43" s="72" t="s">
        <v>34</v>
      </c>
      <c r="AQ43" s="72" t="s">
        <v>232</v>
      </c>
      <c r="AR43" s="101">
        <f>AO43/((1/1000)*(AR51+AR52+AR53))</f>
        <v>1.7552152541175174</v>
      </c>
      <c r="AS43" s="102" t="s">
        <v>34</v>
      </c>
      <c r="AT43" t="s">
        <v>106</v>
      </c>
      <c r="AU43">
        <v>1</v>
      </c>
      <c r="AZ43" t="s">
        <v>106</v>
      </c>
      <c r="BA43">
        <v>1</v>
      </c>
      <c r="BF43" t="s">
        <v>106</v>
      </c>
      <c r="BG43">
        <v>1</v>
      </c>
      <c r="BL43" t="s">
        <v>98</v>
      </c>
      <c r="BM43">
        <v>1</v>
      </c>
      <c r="BR43" s="61" t="s">
        <v>106</v>
      </c>
      <c r="BS43" s="61">
        <v>1</v>
      </c>
      <c r="BT43" s="61"/>
      <c r="BU43" s="61"/>
      <c r="BV43" s="61"/>
      <c r="BW43" s="61"/>
      <c r="BX43" s="61"/>
      <c r="BY43" s="61"/>
      <c r="BZ43" s="61"/>
    </row>
    <row r="44" spans="1:78" ht="12.75">
      <c r="A44" s="58"/>
      <c r="B44" s="63">
        <v>1000</v>
      </c>
      <c r="C44" s="74" t="s">
        <v>178</v>
      </c>
      <c r="D44" s="92" t="s">
        <v>46</v>
      </c>
      <c r="E44" s="93">
        <f>E6</f>
        <v>0.023100000000000002</v>
      </c>
      <c r="F44" s="87"/>
      <c r="G44" s="64" t="s">
        <v>233</v>
      </c>
      <c r="H44">
        <v>14</v>
      </c>
      <c r="M44" s="94"/>
      <c r="N44" s="94"/>
      <c r="O44" s="94"/>
      <c r="P44" s="94"/>
      <c r="Q44" s="94"/>
      <c r="R44" s="94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72" t="s">
        <v>234</v>
      </c>
      <c r="AL44" s="71">
        <f>AO44*1000</f>
        <v>17.47548309416977</v>
      </c>
      <c r="AM44" s="77" t="s">
        <v>34</v>
      </c>
      <c r="AN44" s="72" t="s">
        <v>234</v>
      </c>
      <c r="AO44" s="81">
        <f>AO5/(AO11*AO8/365*AO7*AO68*1000)</f>
        <v>0.017475483094169773</v>
      </c>
      <c r="AP44" s="77" t="s">
        <v>34</v>
      </c>
      <c r="AQ44" s="72" t="s">
        <v>234</v>
      </c>
      <c r="AR44" s="81">
        <f>AO44/(AR69*(1/1000))</f>
        <v>0.008737741547084886</v>
      </c>
      <c r="AS44" s="104"/>
      <c r="AT44" t="s">
        <v>112</v>
      </c>
      <c r="AU44" s="65">
        <f>AU12</f>
        <v>0.877</v>
      </c>
      <c r="AZ44" t="s">
        <v>112</v>
      </c>
      <c r="BA44" s="100">
        <f>BA12</f>
        <v>0.17500000000000002</v>
      </c>
      <c r="BF44" t="s">
        <v>112</v>
      </c>
      <c r="BG44" s="65">
        <f>AU44</f>
        <v>0.877</v>
      </c>
      <c r="BL44" t="s">
        <v>112</v>
      </c>
      <c r="BM44" s="65">
        <f>BG44</f>
        <v>0.877</v>
      </c>
      <c r="BR44" s="61" t="s">
        <v>112</v>
      </c>
      <c r="BS44" s="61">
        <f>BS12</f>
        <v>0.877</v>
      </c>
      <c r="BT44" s="61"/>
      <c r="BU44" s="61"/>
      <c r="BV44" s="61"/>
      <c r="BW44" s="61"/>
      <c r="BX44" s="61"/>
      <c r="BY44" s="61"/>
      <c r="BZ44" s="61"/>
    </row>
    <row r="45" spans="1:78" ht="12.75">
      <c r="A45" s="58" t="s">
        <v>235</v>
      </c>
      <c r="B45" s="70">
        <v>30</v>
      </c>
      <c r="C45" s="74" t="s">
        <v>236</v>
      </c>
      <c r="D45" s="95" t="s">
        <v>237</v>
      </c>
      <c r="E45" s="87">
        <v>250</v>
      </c>
      <c r="F45" s="87" t="s">
        <v>54</v>
      </c>
      <c r="G45" s="64" t="s">
        <v>238</v>
      </c>
      <c r="H45">
        <v>2</v>
      </c>
      <c r="M45" s="94" t="s">
        <v>239</v>
      </c>
      <c r="N45" s="94">
        <v>0.25</v>
      </c>
      <c r="O45" s="94"/>
      <c r="P45" s="94"/>
      <c r="Q45" s="94"/>
      <c r="R45" s="94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72" t="s">
        <v>240</v>
      </c>
      <c r="AL45" s="71">
        <f>AO45/(AL70*((AL93*AL104*AL105*(AL27+AL102))+(AL94*AL104)))</f>
        <v>0.09420792550723185</v>
      </c>
      <c r="AM45" s="81" t="s">
        <v>34</v>
      </c>
      <c r="AN45" s="72" t="s">
        <v>240</v>
      </c>
      <c r="AO45" s="81">
        <f>AO5/(AO11*AO8/365*AO7*AO77*1000)</f>
        <v>0.016071401051906218</v>
      </c>
      <c r="AP45" s="81" t="s">
        <v>34</v>
      </c>
      <c r="AQ45" s="72" t="s">
        <v>240</v>
      </c>
      <c r="AR45" s="103">
        <f>AO45/(AR70*AR78/1000)</f>
        <v>10.107799403714603</v>
      </c>
      <c r="AS45" s="103" t="s">
        <v>34</v>
      </c>
      <c r="AT45" t="s">
        <v>127</v>
      </c>
      <c r="AU45">
        <v>0.073</v>
      </c>
      <c r="AV45" t="s">
        <v>128</v>
      </c>
      <c r="AZ45" t="s">
        <v>87</v>
      </c>
      <c r="BA45">
        <v>8</v>
      </c>
      <c r="BB45" t="s">
        <v>128</v>
      </c>
      <c r="BF45" t="s">
        <v>127</v>
      </c>
      <c r="BG45">
        <v>0</v>
      </c>
      <c r="BH45" t="s">
        <v>128</v>
      </c>
      <c r="BL45" t="s">
        <v>127</v>
      </c>
      <c r="BM45">
        <v>0.33</v>
      </c>
      <c r="BN45" t="s">
        <v>128</v>
      </c>
      <c r="BR45" s="61" t="s">
        <v>130</v>
      </c>
      <c r="BS45" s="61">
        <v>8</v>
      </c>
      <c r="BT45" s="61" t="s">
        <v>131</v>
      </c>
      <c r="BU45" s="61"/>
      <c r="BV45" s="61"/>
      <c r="BW45" s="61"/>
      <c r="BX45" s="61"/>
      <c r="BY45" s="61"/>
      <c r="BZ45" s="61"/>
    </row>
    <row r="46" spans="1:78" ht="12.75">
      <c r="A46" s="58" t="s">
        <v>241</v>
      </c>
      <c r="B46">
        <v>1</v>
      </c>
      <c r="C46" s="74" t="s">
        <v>242</v>
      </c>
      <c r="D46" s="95" t="s">
        <v>243</v>
      </c>
      <c r="E46" s="87">
        <v>25</v>
      </c>
      <c r="F46" s="87" t="s">
        <v>53</v>
      </c>
      <c r="G46" s="64" t="s">
        <v>244</v>
      </c>
      <c r="H46" s="57">
        <v>2.7E-05</v>
      </c>
      <c r="M46" s="94" t="s">
        <v>245</v>
      </c>
      <c r="N46" s="94">
        <v>17.48</v>
      </c>
      <c r="O46" s="94"/>
      <c r="P46" s="94"/>
      <c r="Q46" s="94"/>
      <c r="R46" s="94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72" t="s">
        <v>246</v>
      </c>
      <c r="AL46" s="71">
        <f>AO46/(AL71*((AL96*AL106*AL107*(AL27+AL102))+(AL97*AL106)))</f>
        <v>0.0529619116016585</v>
      </c>
      <c r="AM46" s="71" t="s">
        <v>34</v>
      </c>
      <c r="AN46" s="72" t="s">
        <v>246</v>
      </c>
      <c r="AO46" s="71">
        <f>AO5/(AO11*AO8/365*AO7*AO78*1000)</f>
        <v>0.003395917771898343</v>
      </c>
      <c r="AP46" s="71" t="s">
        <v>34</v>
      </c>
      <c r="AQ46" s="72" t="s">
        <v>246</v>
      </c>
      <c r="AR46" s="103">
        <f>AO46/(AR71*AR79/1000)</f>
        <v>4.6140187118184</v>
      </c>
      <c r="AS46" s="103" t="s">
        <v>34</v>
      </c>
      <c r="AT46" t="s">
        <v>90</v>
      </c>
      <c r="AU46" s="70">
        <f>0.00000146</f>
        <v>1.46E-06</v>
      </c>
      <c r="AV46" s="74" t="s">
        <v>136</v>
      </c>
      <c r="AZ46" t="s">
        <v>90</v>
      </c>
      <c r="BA46" s="70">
        <f>0.00000146</f>
        <v>1.46E-06</v>
      </c>
      <c r="BB46" s="74" t="s">
        <v>136</v>
      </c>
      <c r="BF46" t="s">
        <v>90</v>
      </c>
      <c r="BG46" s="70">
        <f>AU46</f>
        <v>1.46E-06</v>
      </c>
      <c r="BH46" s="74" t="s">
        <v>136</v>
      </c>
      <c r="BL46" t="s">
        <v>90</v>
      </c>
      <c r="BM46" s="70">
        <f>BG46</f>
        <v>1.46E-06</v>
      </c>
      <c r="BN46" s="74" t="s">
        <v>136</v>
      </c>
      <c r="BR46" s="61" t="s">
        <v>90</v>
      </c>
      <c r="BS46" s="68">
        <f>BM46</f>
        <v>1.46E-06</v>
      </c>
      <c r="BT46" s="61" t="s">
        <v>138</v>
      </c>
      <c r="BU46" s="61"/>
      <c r="BV46" s="61"/>
      <c r="BW46" s="61"/>
      <c r="BX46" s="61"/>
      <c r="BY46" s="61"/>
      <c r="BZ46" s="61"/>
    </row>
    <row r="47" spans="1:78" ht="12.75">
      <c r="A47" s="58" t="s">
        <v>184</v>
      </c>
      <c r="B47" s="57">
        <f>B39/(B41*B40*B42*B43*B45*B46*(1/B44))</f>
        <v>1.571896996733598</v>
      </c>
      <c r="D47" t="s">
        <v>74</v>
      </c>
      <c r="E47" s="70">
        <f>E9</f>
        <v>1.1899999999999999E-11</v>
      </c>
      <c r="F47" s="74" t="s">
        <v>56</v>
      </c>
      <c r="G47" s="64" t="s">
        <v>247</v>
      </c>
      <c r="H47" s="57">
        <f>0+H46</f>
        <v>2.7E-05</v>
      </c>
      <c r="M47" s="94" t="s">
        <v>248</v>
      </c>
      <c r="N47" s="94">
        <v>9.08</v>
      </c>
      <c r="O47" s="94"/>
      <c r="P47" s="94"/>
      <c r="Q47" s="94"/>
      <c r="R47" s="94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72" t="s">
        <v>249</v>
      </c>
      <c r="AL47" s="71">
        <f>AO47/(AL72*((AL99*AL108*AL109*(AL27+AL102))+(AL100*AL108)))</f>
        <v>0.048259348315770785</v>
      </c>
      <c r="AM47" s="81" t="s">
        <v>34</v>
      </c>
      <c r="AN47" s="72" t="s">
        <v>249</v>
      </c>
      <c r="AO47" s="81">
        <f>AO5/(AO11*AO8/365*AO7*AO79*1000)</f>
        <v>0.0287818753355257</v>
      </c>
      <c r="AP47" s="81" t="s">
        <v>34</v>
      </c>
      <c r="AQ47" s="72" t="s">
        <v>249</v>
      </c>
      <c r="AR47" s="103">
        <f>AO47/(AR72*AR81/1000)</f>
        <v>10.519691277604423</v>
      </c>
      <c r="AS47" s="103" t="s">
        <v>34</v>
      </c>
      <c r="AT47" t="s">
        <v>147</v>
      </c>
      <c r="AU47">
        <v>0.683</v>
      </c>
      <c r="AV47" t="s">
        <v>128</v>
      </c>
      <c r="BF47" s="74" t="s">
        <v>130</v>
      </c>
      <c r="BG47">
        <v>8</v>
      </c>
      <c r="BH47" s="74" t="s">
        <v>129</v>
      </c>
      <c r="BL47" s="74" t="s">
        <v>130</v>
      </c>
      <c r="BM47">
        <v>8</v>
      </c>
      <c r="BN47" s="74" t="s">
        <v>129</v>
      </c>
      <c r="BR47" s="74" t="s">
        <v>130</v>
      </c>
      <c r="BS47">
        <v>8</v>
      </c>
      <c r="BT47" s="74" t="s">
        <v>129</v>
      </c>
      <c r="BU47" s="61"/>
      <c r="BV47" s="61"/>
      <c r="BW47" s="61"/>
      <c r="BX47" s="61"/>
      <c r="BY47" s="61"/>
      <c r="BZ47" s="61"/>
    </row>
    <row r="48" spans="4:78" ht="12.75">
      <c r="D48" s="95" t="s">
        <v>84</v>
      </c>
      <c r="E48" s="96">
        <v>8</v>
      </c>
      <c r="F48" s="95" t="s">
        <v>85</v>
      </c>
      <c r="G48" s="64" t="s">
        <v>250</v>
      </c>
      <c r="H48" s="65">
        <f>0+(0.693/H44)</f>
        <v>0.0495</v>
      </c>
      <c r="M48" s="94" t="s">
        <v>251</v>
      </c>
      <c r="N48" s="94">
        <v>5.4</v>
      </c>
      <c r="O48" s="94"/>
      <c r="P48" s="94"/>
      <c r="Q48" s="94"/>
      <c r="R48" s="94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72" t="s">
        <v>252</v>
      </c>
      <c r="AL48" s="71">
        <f>AO48/(AL73*((AL90*AL110*AL111*(AL27+AL102))+(AL91*AL110)))</f>
        <v>0.01996177210169157</v>
      </c>
      <c r="AM48" s="81" t="s">
        <v>34</v>
      </c>
      <c r="AN48" s="72" t="s">
        <v>252</v>
      </c>
      <c r="AO48" s="81">
        <f>AO5/(AO11*AO8/365*AO7*AO76*1000)</f>
        <v>0.02235718475389456</v>
      </c>
      <c r="AP48" s="81" t="s">
        <v>34</v>
      </c>
      <c r="AQ48" s="72" t="s">
        <v>252</v>
      </c>
      <c r="AR48" s="103">
        <f>AO48/(AR73*AR80/1000)</f>
        <v>2.235718475389456</v>
      </c>
      <c r="AS48" s="103" t="s">
        <v>34</v>
      </c>
      <c r="BU48" s="61"/>
      <c r="BV48" s="61"/>
      <c r="BW48" s="61"/>
      <c r="BX48" s="61"/>
      <c r="BY48" s="61"/>
      <c r="BZ48" s="61"/>
    </row>
    <row r="49" spans="4:45" ht="12.75">
      <c r="D49" s="87"/>
      <c r="E49" s="96">
        <v>24</v>
      </c>
      <c r="F49" s="95" t="s">
        <v>85</v>
      </c>
      <c r="G49" s="64" t="s">
        <v>253</v>
      </c>
      <c r="H49">
        <v>240</v>
      </c>
      <c r="M49" s="94" t="s">
        <v>254</v>
      </c>
      <c r="N49" s="94">
        <v>20.5</v>
      </c>
      <c r="O49" s="94"/>
      <c r="P49" s="94"/>
      <c r="Q49" s="94"/>
      <c r="R49" s="94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72" t="s">
        <v>255</v>
      </c>
      <c r="AL49" s="71">
        <f>AO49/(AL74*((AL90*AL112*AL113*(AL27+AL102))+(AL91*AL111)))</f>
        <v>1.196018551365763</v>
      </c>
      <c r="AM49" s="81" t="s">
        <v>34</v>
      </c>
      <c r="AN49" s="72" t="s">
        <v>255</v>
      </c>
      <c r="AO49" s="81">
        <f>AO5/(AO11*AO8/365*AO7*AO75*1000)</f>
        <v>0.053581631101186196</v>
      </c>
      <c r="AP49" s="81" t="s">
        <v>34</v>
      </c>
      <c r="AQ49" s="72" t="s">
        <v>255</v>
      </c>
      <c r="AR49" s="103">
        <f>AO49/(AR74*AR80/1000)</f>
        <v>133.95407775296547</v>
      </c>
      <c r="AS49" s="103" t="s">
        <v>34</v>
      </c>
    </row>
    <row r="50" spans="4:45" ht="12.75">
      <c r="D50" s="95" t="s">
        <v>256</v>
      </c>
      <c r="E50" s="93">
        <v>60</v>
      </c>
      <c r="F50" s="95" t="s">
        <v>83</v>
      </c>
      <c r="G50" s="64" t="s">
        <v>154</v>
      </c>
      <c r="H50" s="65">
        <f>0.26</f>
        <v>0.26</v>
      </c>
      <c r="M50" s="94" t="s">
        <v>257</v>
      </c>
      <c r="N50" s="94">
        <v>3.8</v>
      </c>
      <c r="O50" s="94"/>
      <c r="P50" s="94"/>
      <c r="Q50" s="94"/>
      <c r="R50" s="94"/>
      <c r="AK50" s="72" t="s">
        <v>258</v>
      </c>
      <c r="AL50" s="59">
        <v>1</v>
      </c>
      <c r="AM50" s="59"/>
      <c r="AN50" s="59"/>
      <c r="AO50" s="59"/>
      <c r="AP50" s="59"/>
      <c r="AQ50" s="59"/>
      <c r="AR50" s="59"/>
      <c r="AS50" s="59"/>
    </row>
    <row r="51" spans="4:45" ht="12.75">
      <c r="D51" s="64" t="s">
        <v>118</v>
      </c>
      <c r="E51" s="57">
        <f>B17</f>
        <v>2.3900000000000002E-09</v>
      </c>
      <c r="F51" s="64" t="s">
        <v>119</v>
      </c>
      <c r="G51" s="64" t="s">
        <v>259</v>
      </c>
      <c r="H51">
        <v>0.42</v>
      </c>
      <c r="M51" s="94" t="s">
        <v>260</v>
      </c>
      <c r="N51" s="94">
        <v>10.4</v>
      </c>
      <c r="O51" s="94"/>
      <c r="P51" s="94"/>
      <c r="Q51" s="94"/>
      <c r="R51" s="94"/>
      <c r="AK51" s="59" t="s">
        <v>261</v>
      </c>
      <c r="AL51" s="59">
        <v>10000</v>
      </c>
      <c r="AM51" s="59" t="s">
        <v>262</v>
      </c>
      <c r="AN51" s="59"/>
      <c r="AO51" s="59"/>
      <c r="AP51" s="59"/>
      <c r="AQ51" t="s">
        <v>221</v>
      </c>
      <c r="AR51" s="57">
        <f>(AR54*AR55*AR26*(1-EXP(-AR62*AR57)))/(AR64*AR62)</f>
        <v>1.4298564304940413</v>
      </c>
      <c r="AS51" s="59"/>
    </row>
    <row r="52" spans="4:45" ht="12.75">
      <c r="D52" s="92" t="s">
        <v>113</v>
      </c>
      <c r="E52" s="92">
        <v>1</v>
      </c>
      <c r="F52" s="87"/>
      <c r="G52" s="64" t="s">
        <v>263</v>
      </c>
      <c r="H52">
        <v>1</v>
      </c>
      <c r="M52" s="94" t="s">
        <v>229</v>
      </c>
      <c r="N52" s="89">
        <f>0.04</f>
        <v>0.04</v>
      </c>
      <c r="O52" s="94"/>
      <c r="P52" s="94"/>
      <c r="Q52" s="94"/>
      <c r="R52" s="94"/>
      <c r="AK52" s="59" t="s">
        <v>264</v>
      </c>
      <c r="AL52" s="59">
        <v>100000</v>
      </c>
      <c r="AM52" s="59" t="s">
        <v>262</v>
      </c>
      <c r="AN52" s="59"/>
      <c r="AO52" s="59"/>
      <c r="AP52" s="59"/>
      <c r="AQ52" t="s">
        <v>224</v>
      </c>
      <c r="AR52" s="57">
        <f>(AR54*AR55*AR65*(1-EXP(-AR62*AR57)))/(AR64*AR62)</f>
        <v>9.294066798211269</v>
      </c>
      <c r="AS52" s="59"/>
    </row>
    <row r="53" spans="4:45" ht="12.75">
      <c r="D53" s="87" t="s">
        <v>140</v>
      </c>
      <c r="E53" s="57">
        <f>(E43)/((E48/E49)*E45*E46*E47*E50)</f>
        <v>0.6722689075630253</v>
      </c>
      <c r="F53" s="87" t="s">
        <v>33</v>
      </c>
      <c r="G53" s="64"/>
      <c r="AK53" s="59" t="s">
        <v>198</v>
      </c>
      <c r="AL53" s="59">
        <f>1</f>
        <v>1</v>
      </c>
      <c r="AM53" s="59" t="s">
        <v>236</v>
      </c>
      <c r="AN53" s="59"/>
      <c r="AO53" s="59"/>
      <c r="AP53" s="59"/>
      <c r="AQ53" s="58" t="s">
        <v>226</v>
      </c>
      <c r="AR53" s="57">
        <f>(AR54*AR55*AR66*AR67*(1-EXP(-AR63*AR58)))/(AR60*AR63)</f>
        <v>3.642420320634722</v>
      </c>
      <c r="AS53" s="59"/>
    </row>
    <row r="54" spans="4:45" ht="12.75">
      <c r="D54" s="87" t="s">
        <v>149</v>
      </c>
      <c r="E54" s="57">
        <f>(E43)/((E48/E49)*E45*E46*E51*(1/365))</f>
        <v>73.30543933054393</v>
      </c>
      <c r="F54" s="87" t="s">
        <v>33</v>
      </c>
      <c r="G54" s="64"/>
      <c r="M54" t="s">
        <v>267</v>
      </c>
      <c r="N54">
        <v>0.26</v>
      </c>
      <c r="AK54" s="59" t="s">
        <v>268</v>
      </c>
      <c r="AL54" s="59">
        <v>1</v>
      </c>
      <c r="AM54" s="59"/>
      <c r="AN54" s="59" t="s">
        <v>268</v>
      </c>
      <c r="AO54" s="59">
        <v>1</v>
      </c>
      <c r="AP54" s="59"/>
      <c r="AQ54" s="58" t="s">
        <v>227</v>
      </c>
      <c r="AR54">
        <v>3.62</v>
      </c>
      <c r="AS54" s="59"/>
    </row>
    <row r="55" spans="4:45" ht="12.75">
      <c r="D55" s="87" t="s">
        <v>140</v>
      </c>
      <c r="E55" s="57">
        <f>(E43*E44*E46)/((E48/E49)*(1-EXP(-E44*E46))*E47*E50*E45*E46)</f>
        <v>0.8849673431242884</v>
      </c>
      <c r="F55" s="87" t="s">
        <v>35</v>
      </c>
      <c r="G55" s="64"/>
      <c r="AK55" s="59" t="s">
        <v>269</v>
      </c>
      <c r="AL55" s="59">
        <f>(AL12*AL57+AL15*AL58)/AL11</f>
        <v>18.235</v>
      </c>
      <c r="AM55" s="59"/>
      <c r="AN55" s="59" t="s">
        <v>269</v>
      </c>
      <c r="AO55" s="97">
        <f>18.235</f>
        <v>18.235</v>
      </c>
      <c r="AP55" s="59"/>
      <c r="AQ55" s="58" t="s">
        <v>228</v>
      </c>
      <c r="AR55">
        <v>0.25</v>
      </c>
      <c r="AS55" s="59"/>
    </row>
    <row r="56" spans="4:72" ht="12.75">
      <c r="D56" s="87" t="s">
        <v>149</v>
      </c>
      <c r="E56" s="57">
        <f>(E43*E44*E46)/((E48/E49)*(1-EXP(-E44*E46))*E51*E45*E46*(1/365))</f>
        <v>96.49846832285385</v>
      </c>
      <c r="F56" s="87" t="s">
        <v>35</v>
      </c>
      <c r="G56" s="64"/>
      <c r="AK56" s="59" t="s">
        <v>270</v>
      </c>
      <c r="AL56" s="59">
        <f>(AL12*AL59+AL15*AL60)/AL11</f>
        <v>9.41</v>
      </c>
      <c r="AM56" s="59"/>
      <c r="AN56" s="59" t="s">
        <v>270</v>
      </c>
      <c r="AO56" s="59">
        <f>AL56</f>
        <v>9.41</v>
      </c>
      <c r="AP56" s="59"/>
      <c r="AQ56" s="58"/>
      <c r="AR56" s="57"/>
      <c r="AS56" s="59"/>
      <c r="AT56" s="64"/>
      <c r="AU56" s="64"/>
      <c r="AV56" s="64"/>
      <c r="BF56" s="64"/>
      <c r="BG56" s="64"/>
      <c r="BH56" s="64"/>
      <c r="BL56" s="64"/>
      <c r="BM56" s="64"/>
      <c r="BN56" s="64"/>
      <c r="BR56" s="62"/>
      <c r="BS56" s="62"/>
      <c r="BT56" s="62"/>
    </row>
    <row r="57" spans="7:72" ht="12.75">
      <c r="G57" s="64"/>
      <c r="AK57" s="59" t="s">
        <v>271</v>
      </c>
      <c r="AL57" s="59">
        <v>5.4</v>
      </c>
      <c r="AM57" s="59"/>
      <c r="AN57" s="59"/>
      <c r="AO57" s="59"/>
      <c r="AP57" s="59"/>
      <c r="AQ57" s="58" t="s">
        <v>230</v>
      </c>
      <c r="AR57">
        <v>10950</v>
      </c>
      <c r="AS57" s="59"/>
      <c r="BR57" s="61"/>
      <c r="BS57" s="61"/>
      <c r="BT57" s="61"/>
    </row>
    <row r="58" spans="7:45" ht="12.75">
      <c r="G58" s="64"/>
      <c r="AK58" s="59" t="s">
        <v>272</v>
      </c>
      <c r="AL58" s="59">
        <v>20.5</v>
      </c>
      <c r="AM58" s="59"/>
      <c r="AN58" s="59"/>
      <c r="AO58" s="59"/>
      <c r="AP58" s="59"/>
      <c r="AQ58" s="58" t="s">
        <v>231</v>
      </c>
      <c r="AR58">
        <v>60</v>
      </c>
      <c r="AS58" s="59"/>
    </row>
    <row r="59" spans="7:72" ht="12.75">
      <c r="G59" s="64"/>
      <c r="AK59" s="59" t="s">
        <v>273</v>
      </c>
      <c r="AL59" s="59">
        <v>3.8</v>
      </c>
      <c r="AM59" s="59"/>
      <c r="AN59" s="59"/>
      <c r="AO59" s="59"/>
      <c r="AP59" s="59"/>
      <c r="AQ59" s="64" t="s">
        <v>233</v>
      </c>
      <c r="AR59">
        <v>14</v>
      </c>
      <c r="AS59" s="59"/>
      <c r="BR59" s="61"/>
      <c r="BS59" s="61"/>
      <c r="BT59" s="61"/>
    </row>
    <row r="60" spans="7:72" ht="12.75">
      <c r="G60" s="64"/>
      <c r="AK60" s="59" t="s">
        <v>274</v>
      </c>
      <c r="AL60" s="59">
        <v>10.4</v>
      </c>
      <c r="AM60" s="59"/>
      <c r="AN60" s="59"/>
      <c r="AO60" s="59"/>
      <c r="AP60" s="59"/>
      <c r="AQ60" s="64" t="s">
        <v>238</v>
      </c>
      <c r="AR60">
        <v>2</v>
      </c>
      <c r="AS60" s="59"/>
      <c r="BR60" s="61"/>
      <c r="BS60" s="61"/>
      <c r="BT60" s="61"/>
    </row>
    <row r="61" spans="7:72" ht="12.75">
      <c r="G61" s="64"/>
      <c r="AK61" s="77" t="s">
        <v>275</v>
      </c>
      <c r="AL61" s="59">
        <v>0.001</v>
      </c>
      <c r="AM61" s="77" t="s">
        <v>276</v>
      </c>
      <c r="AN61" s="77"/>
      <c r="AO61" s="77"/>
      <c r="AP61" s="77"/>
      <c r="AQ61" s="64" t="s">
        <v>244</v>
      </c>
      <c r="AR61" s="57">
        <v>2.7E-05</v>
      </c>
      <c r="AS61" s="77"/>
      <c r="BR61" s="61"/>
      <c r="BS61" s="61"/>
      <c r="BT61" s="61"/>
    </row>
    <row r="62" spans="7:72" ht="12.75">
      <c r="G62" s="64"/>
      <c r="AK62" s="77" t="s">
        <v>277</v>
      </c>
      <c r="AL62" s="59">
        <v>0.005</v>
      </c>
      <c r="AM62" s="77" t="s">
        <v>276</v>
      </c>
      <c r="AN62" s="77"/>
      <c r="AO62" s="77"/>
      <c r="AP62" s="77"/>
      <c r="AQ62" s="64" t="s">
        <v>247</v>
      </c>
      <c r="AR62" s="57">
        <f>0+AR61</f>
        <v>2.7E-05</v>
      </c>
      <c r="AS62" s="77"/>
      <c r="BR62" s="61"/>
      <c r="BS62" s="61"/>
      <c r="BT62" s="61"/>
    </row>
    <row r="63" spans="7:72" ht="12.75">
      <c r="G63" s="64"/>
      <c r="AK63" s="59" t="s">
        <v>278</v>
      </c>
      <c r="AL63" s="59">
        <v>6.4</v>
      </c>
      <c r="AM63" s="59" t="s">
        <v>279</v>
      </c>
      <c r="AN63" s="59"/>
      <c r="AO63" s="59"/>
      <c r="AP63" s="59"/>
      <c r="AQ63" s="64" t="s">
        <v>250</v>
      </c>
      <c r="AR63" s="65">
        <f>0+(0.693/AR59)</f>
        <v>0.0495</v>
      </c>
      <c r="AS63" s="59"/>
      <c r="BR63" s="61"/>
      <c r="BS63" s="61"/>
      <c r="BT63" s="61"/>
    </row>
    <row r="64" spans="7:72" ht="12.75">
      <c r="G64" s="64"/>
      <c r="AK64" s="59" t="s">
        <v>280</v>
      </c>
      <c r="AL64" s="59">
        <v>45.8</v>
      </c>
      <c r="AM64" s="59" t="s">
        <v>279</v>
      </c>
      <c r="AN64" s="59"/>
      <c r="AO64" s="59"/>
      <c r="AP64" s="59"/>
      <c r="AQ64" s="64" t="s">
        <v>253</v>
      </c>
      <c r="AR64">
        <v>240</v>
      </c>
      <c r="AS64" s="59"/>
      <c r="BR64" s="61"/>
      <c r="BS64" s="61"/>
      <c r="BT64" s="61"/>
    </row>
    <row r="65" spans="7:45" ht="12.75">
      <c r="G65" s="64"/>
      <c r="AK65" s="59" t="s">
        <v>281</v>
      </c>
      <c r="AL65" s="59">
        <v>0.5</v>
      </c>
      <c r="AM65" s="59"/>
      <c r="AN65" s="59"/>
      <c r="AO65" s="59"/>
      <c r="AP65" s="59"/>
      <c r="AQ65" s="64" t="s">
        <v>154</v>
      </c>
      <c r="AR65" s="65">
        <f>0.26</f>
        <v>0.26</v>
      </c>
      <c r="AS65" s="59"/>
    </row>
    <row r="66" spans="7:45" ht="12.75">
      <c r="G66" s="64"/>
      <c r="AK66" s="59" t="s">
        <v>282</v>
      </c>
      <c r="AL66" s="59">
        <v>0.30000000000000004</v>
      </c>
      <c r="AM66" s="59"/>
      <c r="AN66" s="59"/>
      <c r="AO66" s="59"/>
      <c r="AP66" s="59"/>
      <c r="AQ66" s="64" t="s">
        <v>259</v>
      </c>
      <c r="AR66">
        <v>0.42</v>
      </c>
      <c r="AS66" s="59"/>
    </row>
    <row r="67" spans="7:45" ht="12.75">
      <c r="G67" s="64"/>
      <c r="AK67" s="59" t="s">
        <v>283</v>
      </c>
      <c r="AL67" s="59">
        <v>1.5</v>
      </c>
      <c r="AM67" s="59" t="s">
        <v>284</v>
      </c>
      <c r="AN67" s="59"/>
      <c r="AO67" s="59"/>
      <c r="AP67" s="59"/>
      <c r="AQ67" s="64" t="s">
        <v>263</v>
      </c>
      <c r="AR67">
        <v>1</v>
      </c>
      <c r="AS67" s="59"/>
    </row>
    <row r="68" spans="7:45" ht="12.75">
      <c r="G68" s="64"/>
      <c r="AK68" s="59" t="s">
        <v>285</v>
      </c>
      <c r="AL68" s="59">
        <f>(AL12*AL63+AL15*AL64)/AL11</f>
        <v>39.89</v>
      </c>
      <c r="AM68" s="59" t="s">
        <v>279</v>
      </c>
      <c r="AN68" s="59" t="s">
        <v>285</v>
      </c>
      <c r="AO68" s="59">
        <f>AL68</f>
        <v>39.89</v>
      </c>
      <c r="AP68" s="59" t="s">
        <v>279</v>
      </c>
      <c r="AQ68" s="59"/>
      <c r="AR68" s="59"/>
      <c r="AS68" s="59"/>
    </row>
    <row r="69" spans="7:45" ht="12.75">
      <c r="G69" s="64"/>
      <c r="AK69" s="59" t="s">
        <v>286</v>
      </c>
      <c r="AL69" s="71">
        <f>2000</f>
        <v>2000</v>
      </c>
      <c r="AM69" s="59" t="s">
        <v>287</v>
      </c>
      <c r="AN69" s="59"/>
      <c r="AO69" s="59"/>
      <c r="AP69" s="59"/>
      <c r="AQ69" s="59" t="s">
        <v>286</v>
      </c>
      <c r="AR69" s="71">
        <f aca="true" t="shared" si="0" ref="AR69:AR74">AL69</f>
        <v>2000</v>
      </c>
      <c r="AS69" s="59"/>
    </row>
    <row r="70" spans="7:45" ht="12.75">
      <c r="G70" s="64"/>
      <c r="AK70" s="77" t="s">
        <v>288</v>
      </c>
      <c r="AL70" s="71">
        <f>0.03</f>
        <v>0.03</v>
      </c>
      <c r="AM70" s="59"/>
      <c r="AN70" s="59"/>
      <c r="AO70" s="59"/>
      <c r="AP70" s="59"/>
      <c r="AQ70" s="77" t="s">
        <v>288</v>
      </c>
      <c r="AR70" s="71">
        <f t="shared" si="0"/>
        <v>0.03</v>
      </c>
      <c r="AS70" s="59"/>
    </row>
    <row r="71" spans="7:45" ht="12.75">
      <c r="G71" s="64"/>
      <c r="AK71" s="77" t="s">
        <v>289</v>
      </c>
      <c r="AL71" s="71">
        <f>0.008</f>
        <v>0.008</v>
      </c>
      <c r="AM71" s="59"/>
      <c r="AN71" s="77"/>
      <c r="AO71" s="71"/>
      <c r="AP71" s="59"/>
      <c r="AQ71" s="77" t="s">
        <v>289</v>
      </c>
      <c r="AR71" s="71">
        <f t="shared" si="0"/>
        <v>0.008</v>
      </c>
      <c r="AS71" s="59"/>
    </row>
    <row r="72" spans="2:45" ht="12.75">
      <c r="B72" s="57"/>
      <c r="AK72" s="77" t="s">
        <v>290</v>
      </c>
      <c r="AL72" s="71">
        <f>0.24</f>
        <v>0.24</v>
      </c>
      <c r="AM72" s="59"/>
      <c r="AN72" s="59"/>
      <c r="AO72" s="59"/>
      <c r="AP72" s="59"/>
      <c r="AQ72" s="77" t="s">
        <v>290</v>
      </c>
      <c r="AR72" s="71">
        <f t="shared" si="0"/>
        <v>0.24</v>
      </c>
      <c r="AS72" s="59"/>
    </row>
    <row r="73" spans="37:45" ht="12.75">
      <c r="AK73" s="77" t="s">
        <v>291</v>
      </c>
      <c r="AL73" s="59">
        <f>10</f>
        <v>10</v>
      </c>
      <c r="AM73" s="59"/>
      <c r="AN73" s="59"/>
      <c r="AO73" s="59"/>
      <c r="AP73" s="59"/>
      <c r="AQ73" s="77" t="s">
        <v>291</v>
      </c>
      <c r="AR73" s="71">
        <f t="shared" si="0"/>
        <v>10</v>
      </c>
      <c r="AS73" s="59"/>
    </row>
    <row r="74" spans="37:45" ht="12.75">
      <c r="AK74" s="77" t="s">
        <v>292</v>
      </c>
      <c r="AL74" s="71">
        <f>0.4</f>
        <v>0.4</v>
      </c>
      <c r="AM74" s="77" t="s">
        <v>293</v>
      </c>
      <c r="AN74" s="77"/>
      <c r="AO74" s="77"/>
      <c r="AP74" s="77"/>
      <c r="AQ74" s="77" t="s">
        <v>292</v>
      </c>
      <c r="AR74" s="71">
        <f t="shared" si="0"/>
        <v>0.4</v>
      </c>
      <c r="AS74" s="77"/>
    </row>
    <row r="75" spans="37:45" ht="12.75">
      <c r="AK75" s="77" t="s">
        <v>294</v>
      </c>
      <c r="AL75" s="59">
        <f>(AL12*AL80+AL15*AL81)/AL11</f>
        <v>13.01</v>
      </c>
      <c r="AM75" s="59"/>
      <c r="AN75" s="59" t="str">
        <f>AK75</f>
        <v>IFE f-adj</v>
      </c>
      <c r="AO75" s="59">
        <f>AL75</f>
        <v>13.01</v>
      </c>
      <c r="AP75" s="59"/>
      <c r="AQ75" s="59"/>
      <c r="AR75" s="59"/>
      <c r="AS75" s="59"/>
    </row>
    <row r="76" spans="37:45" ht="12.75">
      <c r="AK76" s="77" t="s">
        <v>295</v>
      </c>
      <c r="AL76" s="59">
        <f>(AL12*AL82+AL15*AL83)/AL11</f>
        <v>31.179999999999996</v>
      </c>
      <c r="AM76" s="59"/>
      <c r="AN76" s="77" t="s">
        <v>295</v>
      </c>
      <c r="AO76" s="59">
        <f>AL76</f>
        <v>31.179999999999996</v>
      </c>
      <c r="AP76" s="59"/>
      <c r="AQ76" s="59"/>
      <c r="AR76" s="59"/>
      <c r="AS76" s="59"/>
    </row>
    <row r="77" spans="37:45" ht="12.75">
      <c r="AK77" s="77" t="s">
        <v>296</v>
      </c>
      <c r="AL77" s="59">
        <f>(AL12*AL84+AL15*AL85)/AL11</f>
        <v>43.37500000000001</v>
      </c>
      <c r="AM77" s="59"/>
      <c r="AN77" s="77" t="s">
        <v>296</v>
      </c>
      <c r="AO77" s="59">
        <f>AL77</f>
        <v>43.37500000000001</v>
      </c>
      <c r="AP77" s="59"/>
      <c r="AQ77" s="59"/>
      <c r="AR77" s="59"/>
      <c r="AS77" s="59"/>
    </row>
    <row r="78" spans="2:45" ht="12.75">
      <c r="B78" s="57"/>
      <c r="AK78" s="77" t="s">
        <v>297</v>
      </c>
      <c r="AL78" s="59">
        <f>(AL12*AL86+AL15*AL87)/AL11</f>
        <v>205.275</v>
      </c>
      <c r="AM78" s="59"/>
      <c r="AN78" s="77" t="s">
        <v>297</v>
      </c>
      <c r="AO78" s="59">
        <f>AL78</f>
        <v>205.275</v>
      </c>
      <c r="AP78" s="59"/>
      <c r="AQ78" s="59" t="s">
        <v>298</v>
      </c>
      <c r="AR78" s="59">
        <v>53</v>
      </c>
      <c r="AS78" s="59"/>
    </row>
    <row r="79" spans="37:45" ht="12.75">
      <c r="AK79" s="77" t="s">
        <v>299</v>
      </c>
      <c r="AL79" s="59">
        <f>(AL12*AL88+AL15*AL89)/AL11</f>
        <v>24.22</v>
      </c>
      <c r="AM79" s="59"/>
      <c r="AN79" s="77" t="s">
        <v>299</v>
      </c>
      <c r="AO79" s="59">
        <f>AL79</f>
        <v>24.22</v>
      </c>
      <c r="AP79" s="59"/>
      <c r="AQ79" s="59" t="s">
        <v>300</v>
      </c>
      <c r="AR79" s="59">
        <v>92</v>
      </c>
      <c r="AS79" s="59"/>
    </row>
    <row r="80" spans="37:45" ht="12.75">
      <c r="AK80" s="77" t="s">
        <v>301</v>
      </c>
      <c r="AL80" s="59">
        <v>2.3</v>
      </c>
      <c r="AM80" s="59"/>
      <c r="AN80" s="59"/>
      <c r="AO80" s="59"/>
      <c r="AP80" s="59"/>
      <c r="AQ80" s="59" t="s">
        <v>302</v>
      </c>
      <c r="AR80" s="59">
        <v>1</v>
      </c>
      <c r="AS80" s="59"/>
    </row>
    <row r="81" spans="37:45" ht="12.75">
      <c r="AK81" s="77" t="s">
        <v>303</v>
      </c>
      <c r="AL81" s="59">
        <v>14.9</v>
      </c>
      <c r="AM81" s="59"/>
      <c r="AN81" s="59"/>
      <c r="AO81" s="59"/>
      <c r="AP81" s="59"/>
      <c r="AQ81" s="59" t="s">
        <v>304</v>
      </c>
      <c r="AR81" s="59">
        <v>11.4</v>
      </c>
      <c r="AS81" s="59"/>
    </row>
    <row r="82" spans="37:45" ht="12.75">
      <c r="AK82" s="77" t="s">
        <v>305</v>
      </c>
      <c r="AL82" s="59">
        <v>5</v>
      </c>
      <c r="AM82" s="59"/>
      <c r="AN82" s="59"/>
      <c r="AO82" s="59"/>
      <c r="AP82" s="59"/>
      <c r="AQ82" s="59"/>
      <c r="AR82" s="59"/>
      <c r="AS82" s="59"/>
    </row>
    <row r="83" spans="37:45" ht="12.75">
      <c r="AK83" s="77" t="s">
        <v>306</v>
      </c>
      <c r="AL83" s="59">
        <v>35.8</v>
      </c>
      <c r="AM83" s="59"/>
      <c r="AN83" s="59"/>
      <c r="AO83" s="59"/>
      <c r="AP83" s="59"/>
      <c r="AQ83" s="59"/>
      <c r="AR83" s="59"/>
      <c r="AS83" s="59"/>
    </row>
    <row r="84" spans="37:45" ht="12.75">
      <c r="AK84" s="77" t="s">
        <v>307</v>
      </c>
      <c r="AL84" s="59">
        <v>4.7</v>
      </c>
      <c r="AM84" s="59"/>
      <c r="AN84" s="59"/>
      <c r="AO84" s="59"/>
      <c r="AP84" s="59"/>
      <c r="AQ84" s="59"/>
      <c r="AR84" s="59"/>
      <c r="AS84" s="59"/>
    </row>
    <row r="85" spans="37:45" ht="12.75">
      <c r="AK85" s="77" t="s">
        <v>308</v>
      </c>
      <c r="AL85" s="59">
        <v>50.2</v>
      </c>
      <c r="AM85" s="59"/>
      <c r="AN85" s="59"/>
      <c r="AO85" s="59"/>
      <c r="AP85" s="59"/>
      <c r="AQ85" s="59"/>
      <c r="AR85" s="59"/>
      <c r="AS85" s="59"/>
    </row>
    <row r="86" spans="37:45" ht="12.75">
      <c r="AK86" s="77" t="s">
        <v>309</v>
      </c>
      <c r="AL86" s="59">
        <v>96.9</v>
      </c>
      <c r="AM86" s="59"/>
      <c r="AN86" s="59"/>
      <c r="AO86" s="59"/>
      <c r="AP86" s="59"/>
      <c r="AQ86" s="59"/>
      <c r="AR86" s="59"/>
      <c r="AS86" s="59"/>
    </row>
    <row r="87" spans="37:45" ht="12.75">
      <c r="AK87" s="77" t="s">
        <v>310</v>
      </c>
      <c r="AL87" s="59">
        <v>224.4</v>
      </c>
      <c r="AM87" s="59"/>
      <c r="AN87" s="59"/>
      <c r="AO87" s="59"/>
      <c r="AP87" s="59"/>
      <c r="AQ87" s="59"/>
      <c r="AR87" s="59"/>
      <c r="AS87" s="59"/>
    </row>
    <row r="88" spans="37:45" ht="12.75">
      <c r="AK88" s="77" t="s">
        <v>311</v>
      </c>
      <c r="AL88" s="59">
        <v>4.5</v>
      </c>
      <c r="AM88" s="59"/>
      <c r="AN88" s="59"/>
      <c r="AO88" s="59"/>
      <c r="AP88" s="59"/>
      <c r="AQ88" s="59"/>
      <c r="AR88" s="59"/>
      <c r="AS88" s="59"/>
    </row>
    <row r="89" spans="37:45" ht="12.75">
      <c r="AK89" s="77" t="s">
        <v>312</v>
      </c>
      <c r="AL89" s="59">
        <v>27.7</v>
      </c>
      <c r="AM89" s="59"/>
      <c r="AN89" s="59"/>
      <c r="AO89" s="59"/>
      <c r="AP89" s="59"/>
      <c r="AQ89" s="59"/>
      <c r="AR89" s="59"/>
      <c r="AS89" s="59"/>
    </row>
    <row r="90" spans="37:45" ht="12.75">
      <c r="AK90" s="77" t="s">
        <v>313</v>
      </c>
      <c r="AL90" s="59">
        <v>0.2</v>
      </c>
      <c r="AM90" s="77" t="s">
        <v>314</v>
      </c>
      <c r="AN90" s="77"/>
      <c r="AO90" s="77"/>
      <c r="AP90" s="77"/>
      <c r="AQ90" s="77"/>
      <c r="AR90" s="77"/>
      <c r="AS90" s="77"/>
    </row>
    <row r="91" spans="37:45" ht="12.75">
      <c r="AK91" s="77" t="s">
        <v>315</v>
      </c>
      <c r="AL91" s="59">
        <v>0.022</v>
      </c>
      <c r="AM91" s="77" t="s">
        <v>314</v>
      </c>
      <c r="AN91" s="77"/>
      <c r="AO91" s="77"/>
      <c r="AP91" s="77"/>
      <c r="AQ91" s="77"/>
      <c r="AR91" s="77"/>
      <c r="AS91" s="77"/>
    </row>
    <row r="92" spans="37:45" ht="12.75">
      <c r="AK92" s="77" t="s">
        <v>316</v>
      </c>
      <c r="AL92" s="59">
        <v>53</v>
      </c>
      <c r="AM92" s="77" t="s">
        <v>65</v>
      </c>
      <c r="AN92" s="77"/>
      <c r="AO92" s="77"/>
      <c r="AP92" s="77"/>
      <c r="AQ92" s="77"/>
      <c r="AR92" s="77"/>
      <c r="AS92" s="77"/>
    </row>
    <row r="93" spans="37:45" ht="12.75">
      <c r="AK93" s="77" t="s">
        <v>317</v>
      </c>
      <c r="AL93" s="59">
        <v>11.77</v>
      </c>
      <c r="AM93" s="77" t="s">
        <v>314</v>
      </c>
      <c r="AN93" s="77"/>
      <c r="AO93" s="77"/>
      <c r="AP93" s="77"/>
      <c r="AQ93" s="77"/>
      <c r="AR93" s="77"/>
      <c r="AS93" s="77"/>
    </row>
    <row r="94" spans="37:45" ht="12.75">
      <c r="AK94" s="77" t="s">
        <v>318</v>
      </c>
      <c r="AL94" s="59">
        <v>0.39</v>
      </c>
      <c r="AM94" s="77" t="s">
        <v>314</v>
      </c>
      <c r="AN94" s="77"/>
      <c r="AO94" s="77"/>
      <c r="AP94" s="77"/>
      <c r="AQ94" s="77"/>
      <c r="AR94" s="77"/>
      <c r="AS94" s="77"/>
    </row>
    <row r="95" spans="37:45" ht="12.75">
      <c r="AK95" s="77" t="s">
        <v>319</v>
      </c>
      <c r="AL95" s="59">
        <v>92</v>
      </c>
      <c r="AM95" s="77" t="s">
        <v>65</v>
      </c>
      <c r="AN95" s="77"/>
      <c r="AO95" s="77"/>
      <c r="AP95" s="77"/>
      <c r="AQ95" s="77"/>
      <c r="AR95" s="77"/>
      <c r="AS95" s="77"/>
    </row>
    <row r="96" spans="37:45" ht="12.75">
      <c r="AK96" s="77" t="s">
        <v>320</v>
      </c>
      <c r="AL96" s="59">
        <v>16.9</v>
      </c>
      <c r="AM96" s="77" t="s">
        <v>314</v>
      </c>
      <c r="AN96" s="77"/>
      <c r="AO96" s="77"/>
      <c r="AP96" s="77"/>
      <c r="AQ96" s="77"/>
      <c r="AR96" s="77"/>
      <c r="AS96" s="77"/>
    </row>
    <row r="97" spans="37:45" ht="12.75">
      <c r="AK97" s="77" t="s">
        <v>321</v>
      </c>
      <c r="AL97" s="59">
        <v>0.41</v>
      </c>
      <c r="AM97" s="77" t="s">
        <v>314</v>
      </c>
      <c r="AN97" s="77"/>
      <c r="AO97" s="77"/>
      <c r="AP97" s="77"/>
      <c r="AQ97" s="77"/>
      <c r="AR97" s="77"/>
      <c r="AS97" s="77"/>
    </row>
    <row r="98" spans="37:45" ht="12.75">
      <c r="AK98" s="77" t="s">
        <v>322</v>
      </c>
      <c r="AL98" s="59">
        <v>11.4</v>
      </c>
      <c r="AM98" s="77" t="s">
        <v>65</v>
      </c>
      <c r="AN98" s="77"/>
      <c r="AO98" s="77"/>
      <c r="AP98" s="77"/>
      <c r="AQ98" s="77"/>
      <c r="AR98" s="77"/>
      <c r="AS98" s="77"/>
    </row>
    <row r="99" spans="37:45" ht="12.75">
      <c r="AK99" s="77" t="s">
        <v>323</v>
      </c>
      <c r="AL99" s="59">
        <v>4.7</v>
      </c>
      <c r="AM99" s="77" t="s">
        <v>314</v>
      </c>
      <c r="AN99" s="77"/>
      <c r="AO99" s="77"/>
      <c r="AP99" s="77"/>
      <c r="AQ99" s="77"/>
      <c r="AR99" s="77"/>
      <c r="AS99" s="77"/>
    </row>
    <row r="100" spans="37:45" ht="12.75">
      <c r="AK100" s="77" t="s">
        <v>324</v>
      </c>
      <c r="AL100" s="59">
        <v>0.37</v>
      </c>
      <c r="AM100" s="77" t="s">
        <v>314</v>
      </c>
      <c r="AN100" s="77"/>
      <c r="AO100" s="77"/>
      <c r="AP100" s="77"/>
      <c r="AQ100" s="77"/>
      <c r="AR100" s="77"/>
      <c r="AS100" s="77"/>
    </row>
    <row r="101" spans="37:38" ht="12.75">
      <c r="AK101" t="s">
        <v>325</v>
      </c>
      <c r="AL101">
        <v>0.26</v>
      </c>
    </row>
    <row r="102" spans="37:38" ht="12.75">
      <c r="AK102" t="s">
        <v>326</v>
      </c>
      <c r="AL102">
        <v>0.25</v>
      </c>
    </row>
    <row r="104" spans="37:38" ht="12.75">
      <c r="AK104" t="s">
        <v>327</v>
      </c>
      <c r="AL104">
        <v>1</v>
      </c>
    </row>
    <row r="105" spans="37:38" ht="12.75">
      <c r="AK105" t="s">
        <v>328</v>
      </c>
      <c r="AL105">
        <v>1</v>
      </c>
    </row>
    <row r="106" spans="37:38" ht="12.75">
      <c r="AK106" t="s">
        <v>329</v>
      </c>
      <c r="AL106">
        <v>1</v>
      </c>
    </row>
    <row r="107" spans="37:38" ht="12.75">
      <c r="AK107" t="s">
        <v>330</v>
      </c>
      <c r="AL107">
        <v>1</v>
      </c>
    </row>
    <row r="108" spans="37:38" ht="12.75">
      <c r="AK108" t="s">
        <v>331</v>
      </c>
      <c r="AL108">
        <v>1</v>
      </c>
    </row>
    <row r="109" spans="37:38" ht="12.75">
      <c r="AK109" t="s">
        <v>332</v>
      </c>
      <c r="AL109">
        <v>1</v>
      </c>
    </row>
    <row r="110" spans="37:38" ht="12.75">
      <c r="AK110" t="s">
        <v>333</v>
      </c>
      <c r="AL110">
        <v>1</v>
      </c>
    </row>
    <row r="111" spans="37:38" ht="12.75">
      <c r="AK111" t="s">
        <v>334</v>
      </c>
      <c r="AL111">
        <v>1</v>
      </c>
    </row>
    <row r="112" spans="37:38" ht="12.75">
      <c r="AK112" t="s">
        <v>335</v>
      </c>
      <c r="AL112">
        <v>1</v>
      </c>
    </row>
    <row r="113" spans="37:38" ht="12.75">
      <c r="AK113" t="s">
        <v>336</v>
      </c>
      <c r="AL113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9.00390625" style="0" customWidth="1"/>
    <col min="4" max="4" width="8.57421875" style="0" customWidth="1"/>
    <col min="5" max="5" width="9.7109375" style="0" customWidth="1"/>
    <col min="6" max="6" width="16.8515625" style="0" customWidth="1"/>
    <col min="7" max="7" width="9.00390625" style="0" customWidth="1"/>
    <col min="8" max="8" width="8.421875" style="0" customWidth="1"/>
    <col min="9" max="9" width="10.421875" style="0" customWidth="1"/>
    <col min="10" max="10" width="13.7109375" style="0" customWidth="1"/>
    <col min="11" max="13" width="8.57421875" style="0" customWidth="1"/>
    <col min="14" max="14" width="12.00390625" style="0" customWidth="1"/>
    <col min="15" max="15" width="14.28125" style="0" customWidth="1"/>
    <col min="16" max="16" width="8.140625" style="0" customWidth="1"/>
    <col min="17" max="17" width="11.28125" style="0" customWidth="1"/>
    <col min="18" max="18" width="12.421875" style="0" customWidth="1"/>
    <col min="19" max="19" width="8.140625" style="0" customWidth="1"/>
    <col min="20" max="20" width="13.8515625" style="0" customWidth="1"/>
    <col min="21" max="21" width="14.28125" style="0" customWidth="1"/>
    <col min="22" max="22" width="8.140625" style="0" customWidth="1"/>
    <col min="23" max="23" width="15.00390625" style="0" customWidth="1"/>
    <col min="24" max="24" width="14.28125" style="0" customWidth="1"/>
    <col min="25" max="25" width="8.140625" style="0" customWidth="1"/>
    <col min="26" max="26" width="17.421875" style="0" customWidth="1"/>
    <col min="27" max="27" width="14.28125" style="0" customWidth="1"/>
    <col min="28" max="28" width="13.57421875" style="0" customWidth="1"/>
    <col min="29" max="37" width="11.00390625" style="0" customWidth="1"/>
    <col min="38" max="38" width="12.00390625" style="0" customWidth="1"/>
    <col min="39" max="39" width="16.00390625" style="0" customWidth="1"/>
    <col min="40" max="46" width="10.421875" style="0" customWidth="1"/>
    <col min="47" max="47" width="10.140625" style="0" customWidth="1"/>
    <col min="48" max="48" width="15.421875" style="0" customWidth="1"/>
    <col min="49" max="49" width="10.421875" style="0" customWidth="1"/>
    <col min="50" max="50" width="11.57421875" style="0" customWidth="1"/>
    <col min="51" max="51" width="15.421875" style="0" customWidth="1"/>
    <col min="52" max="53" width="10.421875" style="0" customWidth="1"/>
    <col min="54" max="54" width="14.421875" style="0" customWidth="1"/>
    <col min="55" max="55" width="10.421875" style="0" customWidth="1"/>
    <col min="56" max="56" width="14.00390625" style="0" customWidth="1"/>
    <col min="57" max="58" width="10.421875" style="0" customWidth="1"/>
    <col min="59" max="59" width="10.140625" style="0" customWidth="1"/>
    <col min="60" max="60" width="15.421875" style="0" customWidth="1"/>
    <col min="61" max="61" width="10.421875" style="0" customWidth="1"/>
    <col min="62" max="62" width="11.57421875" style="0" customWidth="1"/>
    <col min="63" max="63" width="15.421875" style="0" customWidth="1"/>
    <col min="64" max="64" width="10.421875" style="0" customWidth="1"/>
    <col min="65" max="65" width="10.140625" style="0" customWidth="1"/>
    <col min="66" max="66" width="15.421875" style="0" customWidth="1"/>
    <col min="67" max="67" width="10.421875" style="0" customWidth="1"/>
    <col min="68" max="68" width="11.57421875" style="0" customWidth="1"/>
    <col min="69" max="69" width="15.421875" style="0" customWidth="1"/>
    <col min="70" max="70" width="9.57421875" style="0" customWidth="1"/>
    <col min="71" max="71" width="10.140625" style="0" customWidth="1"/>
    <col min="72" max="72" width="17.28125" style="0" customWidth="1"/>
    <col min="73" max="73" width="9.57421875" style="0" customWidth="1"/>
    <col min="74" max="74" width="11.57421875" style="0" customWidth="1"/>
    <col min="75" max="75" width="17.28125" style="0" customWidth="1"/>
    <col min="76" max="76" width="10.28125" style="0" customWidth="1"/>
    <col min="78" max="78" width="12.57421875" style="0" customWidth="1"/>
    <col min="83" max="83" width="11.00390625" style="0" customWidth="1"/>
  </cols>
  <sheetData>
    <row r="1" spans="1:78" ht="12.75">
      <c r="A1" s="1" t="s">
        <v>0</v>
      </c>
      <c r="B1" s="1"/>
      <c r="C1" s="1" t="s">
        <v>338</v>
      </c>
      <c r="D1" s="2" t="s">
        <v>2</v>
      </c>
      <c r="E1" s="2" t="s">
        <v>3</v>
      </c>
      <c r="F1" s="2" t="s">
        <v>338</v>
      </c>
      <c r="G1" s="3" t="s">
        <v>0</v>
      </c>
      <c r="H1" s="3"/>
      <c r="I1" s="3" t="s">
        <v>338</v>
      </c>
      <c r="J1" s="4" t="s">
        <v>4</v>
      </c>
      <c r="K1" s="4"/>
      <c r="L1" s="4" t="s">
        <v>338</v>
      </c>
      <c r="M1" s="5" t="s">
        <v>0</v>
      </c>
      <c r="N1" s="5"/>
      <c r="O1" s="5" t="s">
        <v>338</v>
      </c>
      <c r="P1" s="6" t="s">
        <v>4</v>
      </c>
      <c r="Q1" s="6"/>
      <c r="R1" s="6" t="s">
        <v>338</v>
      </c>
      <c r="S1" s="7" t="s">
        <v>2</v>
      </c>
      <c r="T1" s="8" t="s">
        <v>5</v>
      </c>
      <c r="U1" s="9" t="s">
        <v>338</v>
      </c>
      <c r="V1" s="7" t="s">
        <v>2</v>
      </c>
      <c r="W1" s="8" t="s">
        <v>6</v>
      </c>
      <c r="X1" s="9" t="s">
        <v>338</v>
      </c>
      <c r="Y1" s="7" t="s">
        <v>2</v>
      </c>
      <c r="Z1" s="8" t="s">
        <v>7</v>
      </c>
      <c r="AA1" s="9" t="s">
        <v>338</v>
      </c>
      <c r="AB1" s="10" t="s">
        <v>8</v>
      </c>
      <c r="AC1" s="10"/>
      <c r="AD1" s="10" t="s">
        <v>338</v>
      </c>
      <c r="AE1" s="11" t="s">
        <v>8</v>
      </c>
      <c r="AF1" s="11"/>
      <c r="AG1" s="11" t="s">
        <v>338</v>
      </c>
      <c r="AH1" s="12" t="s">
        <v>8</v>
      </c>
      <c r="AI1" s="12"/>
      <c r="AJ1" s="12" t="s">
        <v>338</v>
      </c>
      <c r="AK1" s="13" t="s">
        <v>9</v>
      </c>
      <c r="AL1" s="14"/>
      <c r="AM1" s="14" t="s">
        <v>338</v>
      </c>
      <c r="AN1" s="15" t="s">
        <v>9</v>
      </c>
      <c r="AO1" s="15"/>
      <c r="AP1" s="15" t="s">
        <v>338</v>
      </c>
      <c r="AQ1" s="16" t="s">
        <v>9</v>
      </c>
      <c r="AR1" s="16"/>
      <c r="AS1" s="16" t="s">
        <v>338</v>
      </c>
      <c r="AT1" s="17" t="s">
        <v>10</v>
      </c>
      <c r="AU1" s="17" t="s">
        <v>11</v>
      </c>
      <c r="AV1" s="17" t="s">
        <v>338</v>
      </c>
      <c r="AW1" s="17" t="s">
        <v>10</v>
      </c>
      <c r="AX1" s="17" t="s">
        <v>12</v>
      </c>
      <c r="AY1" s="17" t="s">
        <v>338</v>
      </c>
      <c r="AZ1" s="5" t="s">
        <v>10</v>
      </c>
      <c r="BA1" s="5" t="s">
        <v>11</v>
      </c>
      <c r="BB1" s="5" t="s">
        <v>338</v>
      </c>
      <c r="BC1" s="5" t="s">
        <v>10</v>
      </c>
      <c r="BD1" s="5" t="s">
        <v>13</v>
      </c>
      <c r="BE1" s="5" t="s">
        <v>338</v>
      </c>
      <c r="BF1" s="18" t="s">
        <v>10</v>
      </c>
      <c r="BG1" s="18" t="s">
        <v>11</v>
      </c>
      <c r="BH1" s="18" t="s">
        <v>338</v>
      </c>
      <c r="BI1" s="18" t="s">
        <v>10</v>
      </c>
      <c r="BJ1" s="18" t="s">
        <v>12</v>
      </c>
      <c r="BK1" s="18" t="s">
        <v>338</v>
      </c>
      <c r="BL1" s="19" t="s">
        <v>10</v>
      </c>
      <c r="BM1" s="19" t="s">
        <v>11</v>
      </c>
      <c r="BN1" s="19" t="s">
        <v>338</v>
      </c>
      <c r="BO1" s="19" t="s">
        <v>10</v>
      </c>
      <c r="BP1" s="19" t="s">
        <v>12</v>
      </c>
      <c r="BQ1" s="19" t="s">
        <v>338</v>
      </c>
      <c r="BR1" s="20" t="s">
        <v>10</v>
      </c>
      <c r="BS1" s="20" t="s">
        <v>11</v>
      </c>
      <c r="BT1" s="20" t="s">
        <v>338</v>
      </c>
      <c r="BU1" s="20" t="s">
        <v>10</v>
      </c>
      <c r="BV1" s="20" t="s">
        <v>12</v>
      </c>
      <c r="BW1" s="20" t="s">
        <v>338</v>
      </c>
      <c r="BX1" s="21" t="s">
        <v>14</v>
      </c>
      <c r="BY1" s="21" t="s">
        <v>338</v>
      </c>
      <c r="BZ1" s="21" t="s">
        <v>15</v>
      </c>
    </row>
    <row r="2" spans="1:78" ht="12.75">
      <c r="A2" s="1" t="s">
        <v>16</v>
      </c>
      <c r="B2" s="1" t="s">
        <v>14</v>
      </c>
      <c r="C2" s="1" t="s">
        <v>17</v>
      </c>
      <c r="D2" s="2" t="s">
        <v>16</v>
      </c>
      <c r="E2" s="2" t="s">
        <v>14</v>
      </c>
      <c r="F2" s="2" t="s">
        <v>17</v>
      </c>
      <c r="G2" s="3" t="s">
        <v>18</v>
      </c>
      <c r="H2" s="3" t="s">
        <v>14</v>
      </c>
      <c r="I2" s="3" t="s">
        <v>19</v>
      </c>
      <c r="J2" s="4" t="s">
        <v>20</v>
      </c>
      <c r="K2" s="4" t="s">
        <v>14</v>
      </c>
      <c r="L2" s="4" t="s">
        <v>19</v>
      </c>
      <c r="M2" s="5" t="s">
        <v>21</v>
      </c>
      <c r="N2" s="5" t="s">
        <v>14</v>
      </c>
      <c r="O2" s="5" t="s">
        <v>22</v>
      </c>
      <c r="P2" s="6" t="s">
        <v>21</v>
      </c>
      <c r="Q2" s="6" t="s">
        <v>14</v>
      </c>
      <c r="R2" s="6" t="s">
        <v>22</v>
      </c>
      <c r="S2" s="22" t="s">
        <v>21</v>
      </c>
      <c r="T2" s="23" t="s">
        <v>14</v>
      </c>
      <c r="U2" s="24" t="s">
        <v>22</v>
      </c>
      <c r="V2" s="22" t="s">
        <v>21</v>
      </c>
      <c r="W2" s="23" t="s">
        <v>14</v>
      </c>
      <c r="X2" s="24" t="s">
        <v>22</v>
      </c>
      <c r="Y2" s="22" t="s">
        <v>21</v>
      </c>
      <c r="Z2" s="23" t="s">
        <v>14</v>
      </c>
      <c r="AA2" s="24" t="s">
        <v>22</v>
      </c>
      <c r="AB2" s="10" t="s">
        <v>23</v>
      </c>
      <c r="AC2" s="10"/>
      <c r="AD2" s="10"/>
      <c r="AE2" s="11" t="s">
        <v>24</v>
      </c>
      <c r="AF2" s="11"/>
      <c r="AG2" s="11"/>
      <c r="AH2" s="12" t="s">
        <v>25</v>
      </c>
      <c r="AI2" s="12"/>
      <c r="AJ2" s="12"/>
      <c r="AK2" s="14" t="s">
        <v>26</v>
      </c>
      <c r="AL2" s="14" t="s">
        <v>14</v>
      </c>
      <c r="AM2" s="14" t="s">
        <v>22</v>
      </c>
      <c r="AN2" s="15" t="s">
        <v>27</v>
      </c>
      <c r="AO2" s="15"/>
      <c r="AP2" s="15"/>
      <c r="AQ2" s="16" t="s">
        <v>28</v>
      </c>
      <c r="AR2" s="16" t="s">
        <v>14</v>
      </c>
      <c r="AS2" s="16" t="s">
        <v>22</v>
      </c>
      <c r="AT2" s="25"/>
      <c r="AU2" s="17" t="s">
        <v>29</v>
      </c>
      <c r="AV2" s="26" t="s">
        <v>22</v>
      </c>
      <c r="AW2" s="25"/>
      <c r="AX2" s="17" t="s">
        <v>29</v>
      </c>
      <c r="AY2" s="26" t="s">
        <v>22</v>
      </c>
      <c r="AZ2" s="27"/>
      <c r="BA2" s="5" t="s">
        <v>8</v>
      </c>
      <c r="BB2" s="27" t="s">
        <v>22</v>
      </c>
      <c r="BC2" s="27"/>
      <c r="BD2" s="5" t="s">
        <v>8</v>
      </c>
      <c r="BE2" s="27" t="s">
        <v>22</v>
      </c>
      <c r="BF2" s="18" t="s">
        <v>5</v>
      </c>
      <c r="BG2" s="18" t="s">
        <v>30</v>
      </c>
      <c r="BH2" s="28" t="s">
        <v>22</v>
      </c>
      <c r="BI2" s="18" t="s">
        <v>5</v>
      </c>
      <c r="BJ2" s="18" t="s">
        <v>30</v>
      </c>
      <c r="BK2" s="28" t="s">
        <v>22</v>
      </c>
      <c r="BL2" s="19" t="s">
        <v>3</v>
      </c>
      <c r="BM2" s="19" t="s">
        <v>30</v>
      </c>
      <c r="BN2" s="29" t="s">
        <v>22</v>
      </c>
      <c r="BO2" s="19" t="s">
        <v>3</v>
      </c>
      <c r="BP2" s="19" t="s">
        <v>30</v>
      </c>
      <c r="BQ2" s="29" t="s">
        <v>22</v>
      </c>
      <c r="BR2" s="20" t="s">
        <v>31</v>
      </c>
      <c r="BS2" s="20" t="s">
        <v>30</v>
      </c>
      <c r="BT2" s="30" t="s">
        <v>22</v>
      </c>
      <c r="BU2" s="20" t="s">
        <v>31</v>
      </c>
      <c r="BV2" s="20" t="s">
        <v>30</v>
      </c>
      <c r="BW2" s="30" t="s">
        <v>22</v>
      </c>
      <c r="BX2" s="21" t="s">
        <v>22</v>
      </c>
      <c r="BY2" s="21" t="s">
        <v>29</v>
      </c>
      <c r="BZ2" s="21" t="s">
        <v>32</v>
      </c>
    </row>
    <row r="3" spans="1:78" ht="12.75">
      <c r="A3" s="1" t="s">
        <v>33</v>
      </c>
      <c r="B3" s="31">
        <f>1/((1/B19)+(1/B20))</f>
        <v>0.0004600872582838468</v>
      </c>
      <c r="C3" s="32" t="s">
        <v>34</v>
      </c>
      <c r="D3" s="2" t="s">
        <v>35</v>
      </c>
      <c r="E3" s="33">
        <f>1/((1/E17)+(1/E18))</f>
        <v>0.0007771379024055646</v>
      </c>
      <c r="F3" s="34" t="s">
        <v>34</v>
      </c>
      <c r="G3" s="3"/>
      <c r="H3" s="35">
        <f>1/((1/H30)+(1/H31)+(1/H32)+(1/H33))</f>
        <v>0.0009128776895572681</v>
      </c>
      <c r="I3" s="36" t="s">
        <v>34</v>
      </c>
      <c r="J3" s="37"/>
      <c r="K3" s="38">
        <f>1/((1/K16)+(1/K17))</f>
        <v>0.061842916884371206</v>
      </c>
      <c r="L3" s="37" t="s">
        <v>34</v>
      </c>
      <c r="M3" s="5"/>
      <c r="N3" s="39">
        <f>1/((1/N40)+(1/N41)+(1/N42)+(1/N43))</f>
        <v>0.03270216120836239</v>
      </c>
      <c r="O3" s="27" t="s">
        <v>34</v>
      </c>
      <c r="P3" s="40"/>
      <c r="Q3" s="98">
        <f>1/((1/Q40)+(1/Q41)+(1/Q42))</f>
        <v>1.2393056807748009</v>
      </c>
      <c r="R3" s="40" t="s">
        <v>34</v>
      </c>
      <c r="S3" s="22"/>
      <c r="T3" s="41">
        <f>1/((1/T25)+(1/T26)+(1/T27))</f>
        <v>7.092265250238431</v>
      </c>
      <c r="U3" s="42" t="s">
        <v>34</v>
      </c>
      <c r="V3" s="22"/>
      <c r="W3" s="41">
        <f>1/((1/W25)+(1/W26)+(1/W27))</f>
        <v>3.642096504444525</v>
      </c>
      <c r="X3" s="42" t="s">
        <v>34</v>
      </c>
      <c r="Y3" s="22"/>
      <c r="Z3" s="41">
        <f>1/((1/Z25)+(1/Z26)+(1/Z27))</f>
        <v>3.277886854000072</v>
      </c>
      <c r="AA3" s="42" t="s">
        <v>34</v>
      </c>
      <c r="AB3" s="43"/>
      <c r="AC3" s="43"/>
      <c r="AD3" s="43"/>
      <c r="AE3" s="44"/>
      <c r="AF3" s="44"/>
      <c r="AG3" s="44"/>
      <c r="AH3" s="45"/>
      <c r="AI3" s="45"/>
      <c r="AJ3" s="45"/>
      <c r="AK3" s="14"/>
      <c r="AL3" s="46">
        <f>1/((1/AL40)+(1/AL41)+(1/AL42)+(1/AL43)+(1/AL44)+(1/AL45)+(1/AL46))</f>
        <v>0.004918762800041006</v>
      </c>
      <c r="AM3" s="47" t="s">
        <v>34</v>
      </c>
      <c r="AN3" s="48"/>
      <c r="AO3" s="48"/>
      <c r="AP3" s="48"/>
      <c r="AQ3" s="49"/>
      <c r="AR3" s="50">
        <f>1/((1/AR43)+(1/AR44)+(1/AR45)+(1/AR46))</f>
        <v>0.0006324647440059477</v>
      </c>
      <c r="AS3" s="49"/>
      <c r="AT3" s="17" t="s">
        <v>36</v>
      </c>
      <c r="AU3" s="25">
        <f>(AU5*AU6*AU7)/((1-EXP(-AU7*AU6))*AU9*AU14*(AU8/365)*AU12*((AU13)+(AU15*AU10)))</f>
        <v>4.7501709312612705</v>
      </c>
      <c r="AV3" s="26" t="s">
        <v>34</v>
      </c>
      <c r="AW3" s="17" t="s">
        <v>36</v>
      </c>
      <c r="AX3" s="25">
        <f>(AX5*AX6*AX7)/((1-EXP(-AX7*AX6))*AX9*AX14*(AX8/365)*AX12*((AX13)+(AX15*AX10)))</f>
        <v>4.905612506616373</v>
      </c>
      <c r="AY3" s="26" t="s">
        <v>34</v>
      </c>
      <c r="AZ3" s="5" t="s">
        <v>36</v>
      </c>
      <c r="BA3" s="39">
        <f>(BA5*BA6*BA7)/(BA9*(1-EXP(-BA7*BA6))*BA14*(BA8/365)*BA12*BA13/24*BA11)</f>
        <v>21.82668255930493</v>
      </c>
      <c r="BB3" s="27" t="s">
        <v>34</v>
      </c>
      <c r="BC3" s="5" t="s">
        <v>36</v>
      </c>
      <c r="BD3" s="39">
        <f>(BD5*BD6*BD7)/(BD9*(1-EXP(-BD7*BD6))*BD14*(BD8/365)*BD12*BD13/24*BD11)</f>
        <v>22.514911288652378</v>
      </c>
      <c r="BE3" s="27" t="s">
        <v>34</v>
      </c>
      <c r="BF3" s="18" t="s">
        <v>36</v>
      </c>
      <c r="BG3" s="51">
        <f>(BG5*BG6*BG7)/((1-EXP(-BG7*BG6))*BG9*BG14*(BG8/365)*BG12*(BG15/24)*BG10)</f>
        <v>20.72235695322902</v>
      </c>
      <c r="BH3" s="28" t="s">
        <v>34</v>
      </c>
      <c r="BI3" s="18" t="s">
        <v>36</v>
      </c>
      <c r="BJ3" s="51">
        <f>(BJ5*BJ6*BJ7)/((1-EXP(-BJ7*BJ6))*BJ9*BJ14*(BJ8/365)*BJ12*(BJ15/24)*BJ10)</f>
        <v>21.375764604907406</v>
      </c>
      <c r="BK3" s="28" t="s">
        <v>34</v>
      </c>
      <c r="BL3" s="19" t="s">
        <v>36</v>
      </c>
      <c r="BM3" s="52">
        <f>(BM5*BM6*BM7)/((1-EXP(-BM7*BM6))*BM9*BM14*(BM8/365)*BM12*(BM15/24)*BM11)</f>
        <v>9.209936423657341</v>
      </c>
      <c r="BN3" s="29" t="s">
        <v>34</v>
      </c>
      <c r="BO3" s="19" t="s">
        <v>36</v>
      </c>
      <c r="BP3" s="52">
        <f>(BP5*BP6*BP7)/((1-EXP(-BP7*BP6))*BP9*BP14*(BP8/365)*BP12*(BP15/24)*BP11)</f>
        <v>9.500339824403293</v>
      </c>
      <c r="BQ3" s="29" t="s">
        <v>34</v>
      </c>
      <c r="BR3" s="20"/>
      <c r="BS3" s="53">
        <f>(BS5*BS6*BS7)/((1-EXP(-BS7*BS6))*BS9*BS14*(BS8/365)*BS12*(BS15/24)*BS11)</f>
        <v>8.288942781291608</v>
      </c>
      <c r="BT3" s="30" t="s">
        <v>34</v>
      </c>
      <c r="BU3" s="20"/>
      <c r="BV3" s="53">
        <f>(BV5*BV6*BV7)/((1-EXP(-BV7*BV6))*BV9*BV14*(BV8/365)*BV12*(BV15/24)*BV11)</f>
        <v>8.550305841962963</v>
      </c>
      <c r="BW3" s="30" t="s">
        <v>34</v>
      </c>
      <c r="BX3" s="54">
        <f>(BY5*BY11*0.001*(BY12+(BY8/BY9)))*((BY10*BY7)/(1-EXP(-BY7*BY10)))</f>
        <v>0.3220828997233456</v>
      </c>
      <c r="BY3" s="55" t="s">
        <v>34</v>
      </c>
      <c r="BZ3" s="21" t="s">
        <v>37</v>
      </c>
    </row>
    <row r="4" spans="1:78" ht="12.75">
      <c r="A4" s="1" t="s">
        <v>35</v>
      </c>
      <c r="B4" s="31">
        <f>1/((1/B21)+(1/B22))</f>
        <v>0.00046308199460570374</v>
      </c>
      <c r="C4" s="32" t="s">
        <v>34</v>
      </c>
      <c r="D4" s="2" t="s">
        <v>33</v>
      </c>
      <c r="E4" s="33">
        <f>1/((1/E15)+(1/E16))</f>
        <v>0.0007729467801074067</v>
      </c>
      <c r="F4" s="34" t="s">
        <v>34</v>
      </c>
      <c r="G4" s="3"/>
      <c r="H4" s="35"/>
      <c r="I4" s="36"/>
      <c r="J4" s="37"/>
      <c r="K4" s="37"/>
      <c r="L4" s="37"/>
      <c r="M4" s="5" t="s">
        <v>338</v>
      </c>
      <c r="N4" s="39" t="s">
        <v>29</v>
      </c>
      <c r="O4" s="27"/>
      <c r="P4" s="40"/>
      <c r="Q4" s="40"/>
      <c r="R4" s="40"/>
      <c r="S4" s="22" t="s">
        <v>338</v>
      </c>
      <c r="T4" s="41" t="s">
        <v>38</v>
      </c>
      <c r="U4" s="42"/>
      <c r="V4" s="22" t="s">
        <v>338</v>
      </c>
      <c r="W4" s="41" t="s">
        <v>39</v>
      </c>
      <c r="X4" s="42"/>
      <c r="Y4" s="22" t="s">
        <v>338</v>
      </c>
      <c r="Z4" s="41" t="s">
        <v>7</v>
      </c>
      <c r="AA4" s="42"/>
      <c r="AB4" s="10" t="s">
        <v>338</v>
      </c>
      <c r="AC4" s="43" t="s">
        <v>4</v>
      </c>
      <c r="AD4" s="43"/>
      <c r="AE4" s="11" t="s">
        <v>338</v>
      </c>
      <c r="AF4" s="44" t="s">
        <v>4</v>
      </c>
      <c r="AG4" s="44"/>
      <c r="AH4" s="45"/>
      <c r="AI4" s="45" t="s">
        <v>4</v>
      </c>
      <c r="AJ4" s="45"/>
      <c r="AK4" s="14" t="s">
        <v>338</v>
      </c>
      <c r="AL4" s="46" t="s">
        <v>40</v>
      </c>
      <c r="AM4" s="47"/>
      <c r="AN4" s="15" t="s">
        <v>338</v>
      </c>
      <c r="AO4" s="48"/>
      <c r="AP4" s="48"/>
      <c r="AQ4" s="16" t="s">
        <v>338</v>
      </c>
      <c r="AR4" s="49" t="s">
        <v>40</v>
      </c>
      <c r="AS4" s="49"/>
      <c r="AT4" s="17" t="s">
        <v>41</v>
      </c>
      <c r="AU4" s="25"/>
      <c r="AV4" s="26"/>
      <c r="AW4" s="17" t="s">
        <v>41</v>
      </c>
      <c r="AX4" s="25"/>
      <c r="AY4" s="26"/>
      <c r="AZ4" s="5" t="s">
        <v>41</v>
      </c>
      <c r="BA4" s="27"/>
      <c r="BB4" s="27"/>
      <c r="BC4" s="5" t="s">
        <v>41</v>
      </c>
      <c r="BD4" s="27"/>
      <c r="BE4" s="27"/>
      <c r="BF4" s="18" t="s">
        <v>41</v>
      </c>
      <c r="BG4" s="51"/>
      <c r="BH4" s="28"/>
      <c r="BI4" s="18" t="s">
        <v>41</v>
      </c>
      <c r="BJ4" s="51"/>
      <c r="BK4" s="28"/>
      <c r="BL4" s="19" t="s">
        <v>41</v>
      </c>
      <c r="BM4" s="52"/>
      <c r="BN4" s="29"/>
      <c r="BO4" s="19" t="s">
        <v>41</v>
      </c>
      <c r="BP4" s="52"/>
      <c r="BQ4" s="29"/>
      <c r="BR4" s="20" t="s">
        <v>41</v>
      </c>
      <c r="BS4" s="56"/>
      <c r="BT4" s="30"/>
      <c r="BU4" s="20" t="s">
        <v>41</v>
      </c>
      <c r="BV4" s="56"/>
      <c r="BW4" s="30"/>
      <c r="BX4" s="54">
        <f>(BY6*BY11*10^-3*(BY12+(BY8/BY9)))*((BY10*BY7)/(1-EXP(-BY7*BY10)))</f>
        <v>5.88044586690706E-05</v>
      </c>
      <c r="BY4" s="55" t="s">
        <v>34</v>
      </c>
      <c r="BZ4" s="21" t="s">
        <v>42</v>
      </c>
    </row>
    <row r="5" spans="1:78" ht="12.75">
      <c r="A5" t="s">
        <v>43</v>
      </c>
      <c r="B5" s="57">
        <v>1E-06</v>
      </c>
      <c r="D5" t="s">
        <v>43</v>
      </c>
      <c r="E5" s="57">
        <v>1E-06</v>
      </c>
      <c r="G5" s="58" t="s">
        <v>43</v>
      </c>
      <c r="H5" s="57">
        <v>1E-06</v>
      </c>
      <c r="J5" s="58" t="s">
        <v>43</v>
      </c>
      <c r="K5" s="57">
        <v>1E-06</v>
      </c>
      <c r="M5" s="58" t="s">
        <v>43</v>
      </c>
      <c r="N5" s="57">
        <v>1E-06</v>
      </c>
      <c r="P5" s="58" t="s">
        <v>43</v>
      </c>
      <c r="Q5" s="57">
        <v>1E-06</v>
      </c>
      <c r="S5" s="58" t="s">
        <v>43</v>
      </c>
      <c r="T5" s="57">
        <v>1E-06</v>
      </c>
      <c r="V5" s="58" t="s">
        <v>43</v>
      </c>
      <c r="W5" s="57">
        <v>1E-06</v>
      </c>
      <c r="Y5" s="58" t="s">
        <v>43</v>
      </c>
      <c r="Z5" s="57">
        <v>1E-06</v>
      </c>
      <c r="AB5" s="58" t="s">
        <v>43</v>
      </c>
      <c r="AC5" s="57">
        <v>1E-06</v>
      </c>
      <c r="AE5" t="s">
        <v>44</v>
      </c>
      <c r="AF5" s="57">
        <f>10</f>
        <v>10</v>
      </c>
      <c r="AH5" t="s">
        <v>44</v>
      </c>
      <c r="AI5" s="57">
        <f>AF5</f>
        <v>10</v>
      </c>
      <c r="AK5" s="58" t="s">
        <v>43</v>
      </c>
      <c r="AL5" s="57">
        <v>1E-06</v>
      </c>
      <c r="AM5" s="59"/>
      <c r="AN5" s="58" t="s">
        <v>43</v>
      </c>
      <c r="AO5" s="57">
        <v>1E-06</v>
      </c>
      <c r="AP5" s="59"/>
      <c r="AQ5" s="58" t="s">
        <v>43</v>
      </c>
      <c r="AR5" s="57">
        <v>1E-06</v>
      </c>
      <c r="AS5" s="59"/>
      <c r="AT5" t="s">
        <v>43</v>
      </c>
      <c r="AU5" s="57">
        <v>1E-06</v>
      </c>
      <c r="AW5" t="s">
        <v>43</v>
      </c>
      <c r="AX5" s="57">
        <v>1E-06</v>
      </c>
      <c r="AZ5" t="s">
        <v>43</v>
      </c>
      <c r="BA5" s="57">
        <v>1E-06</v>
      </c>
      <c r="BC5" t="s">
        <v>43</v>
      </c>
      <c r="BD5" s="57">
        <v>1E-06</v>
      </c>
      <c r="BF5" t="s">
        <v>43</v>
      </c>
      <c r="BG5" s="57">
        <v>1E-06</v>
      </c>
      <c r="BI5" t="s">
        <v>43</v>
      </c>
      <c r="BJ5" s="57">
        <v>1E-06</v>
      </c>
      <c r="BL5" t="s">
        <v>43</v>
      </c>
      <c r="BM5" s="57">
        <v>1E-06</v>
      </c>
      <c r="BO5" t="s">
        <v>43</v>
      </c>
      <c r="BP5" s="57">
        <v>1E-06</v>
      </c>
      <c r="BR5" t="s">
        <v>43</v>
      </c>
      <c r="BS5" s="57">
        <v>1E-06</v>
      </c>
      <c r="BU5" t="s">
        <v>43</v>
      </c>
      <c r="BV5" s="57">
        <v>1E-06</v>
      </c>
      <c r="BX5" s="60" t="s">
        <v>45</v>
      </c>
      <c r="BY5" s="68">
        <f>5</f>
        <v>5</v>
      </c>
      <c r="BZ5" s="62" t="s">
        <v>19</v>
      </c>
    </row>
    <row r="6" spans="1:84" ht="12.75">
      <c r="A6" s="58" t="s">
        <v>46</v>
      </c>
      <c r="B6" s="57">
        <f>0.000433</f>
        <v>0.000433</v>
      </c>
      <c r="D6" s="58" t="s">
        <v>46</v>
      </c>
      <c r="E6" s="57">
        <f>B6</f>
        <v>0.000433</v>
      </c>
      <c r="G6" s="58" t="s">
        <v>47</v>
      </c>
      <c r="H6" s="63">
        <v>350</v>
      </c>
      <c r="I6" s="58" t="s">
        <v>48</v>
      </c>
      <c r="J6" s="58" t="s">
        <v>47</v>
      </c>
      <c r="K6" s="63">
        <v>350</v>
      </c>
      <c r="L6" s="58" t="s">
        <v>48</v>
      </c>
      <c r="M6" s="64"/>
      <c r="N6" s="65">
        <v>1000</v>
      </c>
      <c r="O6" t="s">
        <v>49</v>
      </c>
      <c r="S6" s="64"/>
      <c r="T6" s="65">
        <v>1000</v>
      </c>
      <c r="U6" t="s">
        <v>49</v>
      </c>
      <c r="V6" s="64"/>
      <c r="W6" s="65">
        <v>1000</v>
      </c>
      <c r="X6" t="s">
        <v>49</v>
      </c>
      <c r="Y6" s="64"/>
      <c r="Z6" s="65">
        <v>1000</v>
      </c>
      <c r="AA6" t="s">
        <v>49</v>
      </c>
      <c r="AB6" t="s">
        <v>50</v>
      </c>
      <c r="AC6">
        <v>30</v>
      </c>
      <c r="AE6" t="s">
        <v>51</v>
      </c>
      <c r="AF6" s="57"/>
      <c r="AH6" t="s">
        <v>51</v>
      </c>
      <c r="AI6" s="57">
        <f>AF6</f>
        <v>0</v>
      </c>
      <c r="AK6" s="66"/>
      <c r="AL6" s="67">
        <f>1/1000</f>
        <v>0.001</v>
      </c>
      <c r="AM6" s="59" t="s">
        <v>49</v>
      </c>
      <c r="AN6" s="59"/>
      <c r="AO6" s="59"/>
      <c r="AP6" s="59"/>
      <c r="AQ6" s="59"/>
      <c r="AR6" s="59"/>
      <c r="AS6" s="59"/>
      <c r="AT6" t="s">
        <v>52</v>
      </c>
      <c r="AU6">
        <v>30</v>
      </c>
      <c r="AV6" t="s">
        <v>53</v>
      </c>
      <c r="AW6" t="s">
        <v>52</v>
      </c>
      <c r="AX6">
        <v>30</v>
      </c>
      <c r="AY6" t="s">
        <v>53</v>
      </c>
      <c r="AZ6" t="s">
        <v>52</v>
      </c>
      <c r="BA6">
        <v>30</v>
      </c>
      <c r="BB6" t="s">
        <v>53</v>
      </c>
      <c r="BC6" t="s">
        <v>52</v>
      </c>
      <c r="BD6">
        <v>30</v>
      </c>
      <c r="BE6" t="s">
        <v>53</v>
      </c>
      <c r="BF6" t="s">
        <v>52</v>
      </c>
      <c r="BG6">
        <v>25</v>
      </c>
      <c r="BH6" t="s">
        <v>53</v>
      </c>
      <c r="BI6" t="s">
        <v>52</v>
      </c>
      <c r="BJ6">
        <v>25</v>
      </c>
      <c r="BK6" t="s">
        <v>53</v>
      </c>
      <c r="BL6" t="s">
        <v>52</v>
      </c>
      <c r="BM6">
        <v>25</v>
      </c>
      <c r="BN6" t="s">
        <v>53</v>
      </c>
      <c r="BO6" t="s">
        <v>52</v>
      </c>
      <c r="BP6">
        <v>25</v>
      </c>
      <c r="BQ6" t="s">
        <v>53</v>
      </c>
      <c r="BR6" t="s">
        <v>52</v>
      </c>
      <c r="BS6">
        <v>25</v>
      </c>
      <c r="BT6" t="s">
        <v>53</v>
      </c>
      <c r="BU6" t="s">
        <v>52</v>
      </c>
      <c r="BV6">
        <v>25</v>
      </c>
      <c r="BW6" t="s">
        <v>53</v>
      </c>
      <c r="BX6" s="61" t="s">
        <v>14</v>
      </c>
      <c r="BY6" s="68">
        <f>H3</f>
        <v>0.0009128776895572681</v>
      </c>
      <c r="BZ6" s="62" t="s">
        <v>19</v>
      </c>
      <c r="CF6" s="57"/>
    </row>
    <row r="7" spans="1:78" ht="12.75">
      <c r="A7" t="s">
        <v>47</v>
      </c>
      <c r="B7">
        <v>350</v>
      </c>
      <c r="C7" t="s">
        <v>54</v>
      </c>
      <c r="D7" t="s">
        <v>47</v>
      </c>
      <c r="E7">
        <v>225</v>
      </c>
      <c r="F7" t="s">
        <v>54</v>
      </c>
      <c r="G7" s="58" t="s">
        <v>66</v>
      </c>
      <c r="H7" s="57">
        <f>0.000000000385</f>
        <v>3.85E-10</v>
      </c>
      <c r="I7" s="58" t="s">
        <v>56</v>
      </c>
      <c r="J7" s="58" t="s">
        <v>57</v>
      </c>
      <c r="K7" s="69">
        <f>0.0000000000000573</f>
        <v>5.73E-14</v>
      </c>
      <c r="L7" s="58"/>
      <c r="M7" s="58" t="s">
        <v>58</v>
      </c>
      <c r="N7" s="70">
        <f>0.000000000514</f>
        <v>5.14E-10</v>
      </c>
      <c r="O7" s="58" t="s">
        <v>56</v>
      </c>
      <c r="P7" s="58"/>
      <c r="Q7" s="58"/>
      <c r="R7" s="58"/>
      <c r="S7" s="58" t="s">
        <v>59</v>
      </c>
      <c r="T7" s="63">
        <v>250</v>
      </c>
      <c r="U7" s="58" t="s">
        <v>48</v>
      </c>
      <c r="V7" s="58" t="s">
        <v>60</v>
      </c>
      <c r="W7" s="63">
        <v>225</v>
      </c>
      <c r="X7" s="58" t="s">
        <v>48</v>
      </c>
      <c r="Y7" s="58" t="s">
        <v>61</v>
      </c>
      <c r="Z7" s="63">
        <v>250</v>
      </c>
      <c r="AA7" s="58" t="s">
        <v>48</v>
      </c>
      <c r="AB7" s="58" t="s">
        <v>47</v>
      </c>
      <c r="AC7" s="58">
        <v>350</v>
      </c>
      <c r="AD7" s="58"/>
      <c r="AE7" t="s">
        <v>62</v>
      </c>
      <c r="AF7">
        <v>1</v>
      </c>
      <c r="AG7" s="58"/>
      <c r="AH7" s="58" t="s">
        <v>63</v>
      </c>
      <c r="AI7" s="58">
        <v>1</v>
      </c>
      <c r="AJ7" s="58"/>
      <c r="AK7" s="58" t="s">
        <v>58</v>
      </c>
      <c r="AL7" s="71">
        <f>N7</f>
        <v>5.14E-10</v>
      </c>
      <c r="AM7" s="58" t="s">
        <v>56</v>
      </c>
      <c r="AN7" s="58" t="s">
        <v>58</v>
      </c>
      <c r="AO7" s="71">
        <f>AL7</f>
        <v>5.14E-10</v>
      </c>
      <c r="AP7" s="58" t="s">
        <v>56</v>
      </c>
      <c r="AQ7" s="58" t="s">
        <v>58</v>
      </c>
      <c r="AR7" s="71">
        <f>AL7</f>
        <v>5.14E-10</v>
      </c>
      <c r="AS7" s="58" t="s">
        <v>56</v>
      </c>
      <c r="AT7" t="s">
        <v>46</v>
      </c>
      <c r="AU7" s="70">
        <f>B6</f>
        <v>0.000433</v>
      </c>
      <c r="AW7" t="s">
        <v>46</v>
      </c>
      <c r="AX7" s="70">
        <f>AU7</f>
        <v>0.000433</v>
      </c>
      <c r="AZ7" t="s">
        <v>46</v>
      </c>
      <c r="BA7" s="70">
        <f>AU7</f>
        <v>0.000433</v>
      </c>
      <c r="BC7" t="s">
        <v>46</v>
      </c>
      <c r="BD7" s="70">
        <f>BA7</f>
        <v>0.000433</v>
      </c>
      <c r="BF7" t="s">
        <v>46</v>
      </c>
      <c r="BG7" s="70">
        <f>AU7</f>
        <v>0.000433</v>
      </c>
      <c r="BI7" t="s">
        <v>46</v>
      </c>
      <c r="BJ7" s="70">
        <f>BG7</f>
        <v>0.000433</v>
      </c>
      <c r="BL7" t="s">
        <v>46</v>
      </c>
      <c r="BM7" s="70">
        <f>BG7</f>
        <v>0.000433</v>
      </c>
      <c r="BO7" t="s">
        <v>46</v>
      </c>
      <c r="BP7" s="70">
        <f>BM7</f>
        <v>0.000433</v>
      </c>
      <c r="BR7" s="61" t="s">
        <v>46</v>
      </c>
      <c r="BS7" s="68">
        <f>BM7</f>
        <v>0.000433</v>
      </c>
      <c r="BT7" s="61"/>
      <c r="BU7" s="61" t="s">
        <v>46</v>
      </c>
      <c r="BV7" s="68">
        <f>BS7</f>
        <v>0.000433</v>
      </c>
      <c r="BW7" s="61"/>
      <c r="BX7" s="61" t="s">
        <v>46</v>
      </c>
      <c r="BY7" s="68">
        <f>B6</f>
        <v>0.000433</v>
      </c>
      <c r="BZ7" s="61"/>
    </row>
    <row r="8" spans="1:78" ht="12.75">
      <c r="A8" t="s">
        <v>50</v>
      </c>
      <c r="B8">
        <v>30</v>
      </c>
      <c r="C8" t="s">
        <v>53</v>
      </c>
      <c r="D8" t="s">
        <v>50</v>
      </c>
      <c r="E8">
        <v>25</v>
      </c>
      <c r="F8" t="s">
        <v>53</v>
      </c>
      <c r="G8" s="58" t="s">
        <v>64</v>
      </c>
      <c r="H8" s="65">
        <f>(H9*H10+H15*H12)/H11</f>
        <v>1.8</v>
      </c>
      <c r="I8" s="58" t="s">
        <v>65</v>
      </c>
      <c r="J8" s="58" t="s">
        <v>66</v>
      </c>
      <c r="K8" s="69">
        <f>H7</f>
        <v>3.85E-10</v>
      </c>
      <c r="L8" s="58"/>
      <c r="M8" s="58" t="s">
        <v>47</v>
      </c>
      <c r="N8" s="63">
        <v>350</v>
      </c>
      <c r="O8" s="58" t="s">
        <v>48</v>
      </c>
      <c r="P8" s="58" t="s">
        <v>67</v>
      </c>
      <c r="Q8" s="58">
        <v>350</v>
      </c>
      <c r="R8" s="58"/>
      <c r="S8" s="58" t="s">
        <v>68</v>
      </c>
      <c r="T8" s="57">
        <f>0.000000000295</f>
        <v>2.95E-10</v>
      </c>
      <c r="U8" t="s">
        <v>56</v>
      </c>
      <c r="V8" t="s">
        <v>68</v>
      </c>
      <c r="W8" s="57">
        <f>T8</f>
        <v>2.95E-10</v>
      </c>
      <c r="X8" t="s">
        <v>56</v>
      </c>
      <c r="Y8" t="s">
        <v>68</v>
      </c>
      <c r="Z8" s="57">
        <f>W8</f>
        <v>2.95E-10</v>
      </c>
      <c r="AA8" s="58" t="s">
        <v>56</v>
      </c>
      <c r="AB8" s="58" t="s">
        <v>58</v>
      </c>
      <c r="AC8" s="69">
        <f>AL7</f>
        <v>5.14E-10</v>
      </c>
      <c r="AD8" s="58"/>
      <c r="AE8" t="s">
        <v>69</v>
      </c>
      <c r="AF8" s="58">
        <v>1</v>
      </c>
      <c r="AG8" s="58"/>
      <c r="AH8" s="58" t="s">
        <v>70</v>
      </c>
      <c r="AI8" s="58">
        <v>1</v>
      </c>
      <c r="AJ8" s="58"/>
      <c r="AK8" s="72" t="s">
        <v>71</v>
      </c>
      <c r="AL8" s="73">
        <v>350</v>
      </c>
      <c r="AM8" s="72" t="s">
        <v>48</v>
      </c>
      <c r="AN8" s="72" t="s">
        <v>72</v>
      </c>
      <c r="AO8" s="73">
        <v>350</v>
      </c>
      <c r="AP8" s="72" t="s">
        <v>48</v>
      </c>
      <c r="AQ8" s="72" t="s">
        <v>72</v>
      </c>
      <c r="AR8" s="73">
        <v>350</v>
      </c>
      <c r="AS8" s="72" t="s">
        <v>48</v>
      </c>
      <c r="AT8" t="s">
        <v>47</v>
      </c>
      <c r="AU8">
        <v>350</v>
      </c>
      <c r="AV8" t="s">
        <v>54</v>
      </c>
      <c r="AW8" t="s">
        <v>47</v>
      </c>
      <c r="AX8">
        <v>350</v>
      </c>
      <c r="AY8" t="s">
        <v>54</v>
      </c>
      <c r="AZ8" t="s">
        <v>47</v>
      </c>
      <c r="BA8">
        <v>350</v>
      </c>
      <c r="BB8" t="s">
        <v>54</v>
      </c>
      <c r="BC8" t="s">
        <v>47</v>
      </c>
      <c r="BD8">
        <v>350</v>
      </c>
      <c r="BE8" t="s">
        <v>54</v>
      </c>
      <c r="BF8" t="s">
        <v>47</v>
      </c>
      <c r="BG8">
        <v>250</v>
      </c>
      <c r="BH8" t="s">
        <v>54</v>
      </c>
      <c r="BI8" t="s">
        <v>47</v>
      </c>
      <c r="BJ8">
        <v>250</v>
      </c>
      <c r="BK8" t="s">
        <v>54</v>
      </c>
      <c r="BL8" t="s">
        <v>47</v>
      </c>
      <c r="BM8">
        <v>225</v>
      </c>
      <c r="BN8" t="s">
        <v>54</v>
      </c>
      <c r="BO8" t="s">
        <v>47</v>
      </c>
      <c r="BP8">
        <v>225</v>
      </c>
      <c r="BQ8" t="s">
        <v>54</v>
      </c>
      <c r="BR8" s="61" t="s">
        <v>47</v>
      </c>
      <c r="BS8" s="61">
        <v>250</v>
      </c>
      <c r="BT8" s="61" t="s">
        <v>54</v>
      </c>
      <c r="BU8" s="61" t="s">
        <v>47</v>
      </c>
      <c r="BV8" s="61">
        <v>250</v>
      </c>
      <c r="BW8" s="61" t="s">
        <v>54</v>
      </c>
      <c r="BX8" s="61" t="s">
        <v>73</v>
      </c>
      <c r="BY8" s="61">
        <v>0.30000000000000004</v>
      </c>
      <c r="BZ8" s="61"/>
    </row>
    <row r="9" spans="1:78" ht="12.75">
      <c r="A9" t="s">
        <v>74</v>
      </c>
      <c r="B9" s="70">
        <f>0.0000000115</f>
        <v>1.1499999999999999E-08</v>
      </c>
      <c r="C9" s="74" t="s">
        <v>56</v>
      </c>
      <c r="D9" t="s">
        <v>74</v>
      </c>
      <c r="E9" s="70">
        <f>0.0000000115</f>
        <v>1.1499999999999999E-08</v>
      </c>
      <c r="F9" s="74" t="s">
        <v>56</v>
      </c>
      <c r="G9" s="58" t="s">
        <v>75</v>
      </c>
      <c r="H9" s="65">
        <f>6</f>
        <v>6</v>
      </c>
      <c r="I9" t="s">
        <v>76</v>
      </c>
      <c r="J9" t="s">
        <v>77</v>
      </c>
      <c r="K9">
        <v>1</v>
      </c>
      <c r="M9" s="58" t="s">
        <v>68</v>
      </c>
      <c r="N9" s="57">
        <f>0.000000000729</f>
        <v>7.290000000000001E-10</v>
      </c>
      <c r="O9" s="58" t="s">
        <v>56</v>
      </c>
      <c r="P9" s="58" t="s">
        <v>68</v>
      </c>
      <c r="Q9" s="69">
        <f>N9</f>
        <v>7.290000000000001E-10</v>
      </c>
      <c r="R9" s="58"/>
      <c r="S9" s="58" t="s">
        <v>50</v>
      </c>
      <c r="T9">
        <v>25</v>
      </c>
      <c r="U9" s="58" t="s">
        <v>78</v>
      </c>
      <c r="V9" s="58" t="s">
        <v>50</v>
      </c>
      <c r="W9">
        <v>25</v>
      </c>
      <c r="X9" s="58" t="s">
        <v>78</v>
      </c>
      <c r="Y9" s="58" t="s">
        <v>50</v>
      </c>
      <c r="Z9">
        <v>25</v>
      </c>
      <c r="AA9" s="58" t="s">
        <v>78</v>
      </c>
      <c r="AB9" s="58" t="s">
        <v>79</v>
      </c>
      <c r="AC9" s="58">
        <v>1</v>
      </c>
      <c r="AD9" s="58"/>
      <c r="AE9" t="s">
        <v>80</v>
      </c>
      <c r="AF9" s="58">
        <v>1</v>
      </c>
      <c r="AG9" s="58"/>
      <c r="AH9" s="58"/>
      <c r="AI9" s="58"/>
      <c r="AJ9" s="58"/>
      <c r="AK9" s="58" t="s">
        <v>68</v>
      </c>
      <c r="AL9" s="71">
        <f>N9</f>
        <v>7.290000000000001E-10</v>
      </c>
      <c r="AM9" s="58" t="s">
        <v>56</v>
      </c>
      <c r="AN9" s="58" t="s">
        <v>68</v>
      </c>
      <c r="AO9" s="71">
        <f>AL9</f>
        <v>7.290000000000001E-10</v>
      </c>
      <c r="AP9" s="58" t="s">
        <v>56</v>
      </c>
      <c r="AQ9" s="58" t="s">
        <v>68</v>
      </c>
      <c r="AR9" s="71">
        <f>AO9</f>
        <v>7.290000000000001E-10</v>
      </c>
      <c r="AS9" s="58" t="s">
        <v>56</v>
      </c>
      <c r="AT9" t="s">
        <v>50</v>
      </c>
      <c r="AU9">
        <v>30</v>
      </c>
      <c r="AV9" t="s">
        <v>53</v>
      </c>
      <c r="AW9" t="s">
        <v>50</v>
      </c>
      <c r="AX9">
        <v>30</v>
      </c>
      <c r="AY9" t="s">
        <v>53</v>
      </c>
      <c r="AZ9" t="s">
        <v>50</v>
      </c>
      <c r="BA9">
        <v>30</v>
      </c>
      <c r="BB9" t="s">
        <v>53</v>
      </c>
      <c r="BC9" t="s">
        <v>50</v>
      </c>
      <c r="BD9">
        <v>30</v>
      </c>
      <c r="BE9" t="s">
        <v>53</v>
      </c>
      <c r="BF9" t="s">
        <v>50</v>
      </c>
      <c r="BG9">
        <v>25</v>
      </c>
      <c r="BH9" t="s">
        <v>53</v>
      </c>
      <c r="BI9" t="s">
        <v>50</v>
      </c>
      <c r="BJ9">
        <v>25</v>
      </c>
      <c r="BK9" t="s">
        <v>53</v>
      </c>
      <c r="BL9" t="s">
        <v>50</v>
      </c>
      <c r="BM9">
        <v>25</v>
      </c>
      <c r="BN9" t="s">
        <v>53</v>
      </c>
      <c r="BO9" t="s">
        <v>50</v>
      </c>
      <c r="BP9">
        <v>25</v>
      </c>
      <c r="BQ9" t="s">
        <v>53</v>
      </c>
      <c r="BR9" t="s">
        <v>50</v>
      </c>
      <c r="BS9">
        <v>25</v>
      </c>
      <c r="BT9" t="s">
        <v>53</v>
      </c>
      <c r="BU9" t="s">
        <v>50</v>
      </c>
      <c r="BV9">
        <v>25</v>
      </c>
      <c r="BW9" t="s">
        <v>53</v>
      </c>
      <c r="BX9" s="61" t="s">
        <v>81</v>
      </c>
      <c r="BY9" s="68">
        <v>1.5</v>
      </c>
      <c r="BZ9" s="61"/>
    </row>
    <row r="10" spans="1:78" ht="12.75">
      <c r="A10" s="58" t="s">
        <v>82</v>
      </c>
      <c r="B10" s="65">
        <f>(B11*B15+B12*B16)/(B15+B16)</f>
        <v>18</v>
      </c>
      <c r="C10" t="s">
        <v>83</v>
      </c>
      <c r="D10" t="s">
        <v>84</v>
      </c>
      <c r="E10" s="63">
        <v>8</v>
      </c>
      <c r="F10" s="74" t="s">
        <v>85</v>
      </c>
      <c r="G10" s="58" t="s">
        <v>86</v>
      </c>
      <c r="H10" s="65">
        <v>1</v>
      </c>
      <c r="J10" t="s">
        <v>87</v>
      </c>
      <c r="K10">
        <v>8</v>
      </c>
      <c r="M10" s="58" t="s">
        <v>88</v>
      </c>
      <c r="N10" s="65">
        <f>(N13*N12+N16*N15)/(N12+N15)</f>
        <v>120</v>
      </c>
      <c r="O10" s="58" t="s">
        <v>89</v>
      </c>
      <c r="P10" s="58" t="s">
        <v>90</v>
      </c>
      <c r="Q10" s="69">
        <f>N23</f>
        <v>2.29E-08</v>
      </c>
      <c r="R10" s="58"/>
      <c r="S10" s="58" t="s">
        <v>91</v>
      </c>
      <c r="T10" s="65">
        <v>50</v>
      </c>
      <c r="V10" s="58" t="s">
        <v>92</v>
      </c>
      <c r="W10" s="65">
        <v>100</v>
      </c>
      <c r="Y10" s="58" t="s">
        <v>93</v>
      </c>
      <c r="Z10" s="65">
        <v>100</v>
      </c>
      <c r="AB10" t="s">
        <v>94</v>
      </c>
      <c r="AC10">
        <v>1</v>
      </c>
      <c r="AE10" s="58" t="s">
        <v>95</v>
      </c>
      <c r="AF10" s="58">
        <v>1</v>
      </c>
      <c r="AH10" t="s">
        <v>96</v>
      </c>
      <c r="AI10" s="105"/>
      <c r="AJ10" s="106" t="s">
        <v>34</v>
      </c>
      <c r="AK10" s="72" t="s">
        <v>97</v>
      </c>
      <c r="AL10" s="59">
        <f>(AL13*AL12+AL16*AL15)/(AL11)</f>
        <v>115</v>
      </c>
      <c r="AM10" s="72" t="s">
        <v>89</v>
      </c>
      <c r="AN10" s="72" t="s">
        <v>97</v>
      </c>
      <c r="AO10" s="59">
        <f>(AO13*AO12+AO16*AO15)/(AO11)</f>
        <v>115</v>
      </c>
      <c r="AP10" s="72" t="s">
        <v>89</v>
      </c>
      <c r="AQ10" s="72" t="s">
        <v>97</v>
      </c>
      <c r="AR10" s="59">
        <f>(AR13*AR12+AR16*AR15)/(AR11)</f>
        <v>115</v>
      </c>
      <c r="AS10" s="72" t="s">
        <v>89</v>
      </c>
      <c r="AT10" t="s">
        <v>98</v>
      </c>
      <c r="AU10">
        <v>0.4</v>
      </c>
      <c r="AW10" t="s">
        <v>98</v>
      </c>
      <c r="AX10">
        <v>0.4</v>
      </c>
      <c r="AZ10" t="s">
        <v>98</v>
      </c>
      <c r="BA10">
        <v>0.4</v>
      </c>
      <c r="BC10" t="s">
        <v>98</v>
      </c>
      <c r="BD10">
        <v>0.4</v>
      </c>
      <c r="BF10" t="s">
        <v>98</v>
      </c>
      <c r="BG10">
        <v>0.4</v>
      </c>
      <c r="BI10" t="s">
        <v>98</v>
      </c>
      <c r="BJ10">
        <v>0.4</v>
      </c>
      <c r="BL10" t="s">
        <v>98</v>
      </c>
      <c r="BM10">
        <v>0.4</v>
      </c>
      <c r="BO10" t="s">
        <v>98</v>
      </c>
      <c r="BP10">
        <v>0.4</v>
      </c>
      <c r="BR10" s="61"/>
      <c r="BS10" s="61"/>
      <c r="BT10" s="61"/>
      <c r="BU10" s="61"/>
      <c r="BV10" s="61"/>
      <c r="BW10" s="61"/>
      <c r="BX10" s="61" t="s">
        <v>99</v>
      </c>
      <c r="BY10" s="61">
        <v>30</v>
      </c>
      <c r="BZ10" s="61"/>
    </row>
    <row r="11" spans="1:78" ht="12.75">
      <c r="A11" s="58" t="s">
        <v>100</v>
      </c>
      <c r="B11" s="75">
        <v>10</v>
      </c>
      <c r="C11" s="75" t="s">
        <v>83</v>
      </c>
      <c r="E11" s="63">
        <v>24</v>
      </c>
      <c r="F11" s="74" t="s">
        <v>85</v>
      </c>
      <c r="G11" s="58" t="s">
        <v>101</v>
      </c>
      <c r="H11" s="65">
        <f>B8</f>
        <v>30</v>
      </c>
      <c r="I11" t="s">
        <v>76</v>
      </c>
      <c r="J11" t="s">
        <v>47</v>
      </c>
      <c r="K11">
        <v>350</v>
      </c>
      <c r="M11" s="58" t="s">
        <v>50</v>
      </c>
      <c r="N11" s="65">
        <v>30</v>
      </c>
      <c r="O11" s="58" t="s">
        <v>78</v>
      </c>
      <c r="P11" s="58" t="s">
        <v>74</v>
      </c>
      <c r="Q11" s="69">
        <f>N25</f>
        <v>1.1499999999999999E-08</v>
      </c>
      <c r="R11" s="58"/>
      <c r="S11" s="58" t="s">
        <v>102</v>
      </c>
      <c r="T11" s="75">
        <v>60</v>
      </c>
      <c r="U11" s="75" t="s">
        <v>83</v>
      </c>
      <c r="V11" s="58" t="s">
        <v>102</v>
      </c>
      <c r="W11" s="75">
        <v>60</v>
      </c>
      <c r="X11" s="75" t="s">
        <v>83</v>
      </c>
      <c r="Y11" s="58" t="s">
        <v>102</v>
      </c>
      <c r="Z11" s="75">
        <v>60</v>
      </c>
      <c r="AA11" s="75" t="s">
        <v>83</v>
      </c>
      <c r="AB11" s="75"/>
      <c r="AC11" s="75"/>
      <c r="AD11" s="75"/>
      <c r="AE11" t="s">
        <v>103</v>
      </c>
      <c r="AF11">
        <v>1</v>
      </c>
      <c r="AG11" s="75"/>
      <c r="AH11" s="75" t="s">
        <v>104</v>
      </c>
      <c r="AI11" s="107">
        <f>AC13/(AI5*AI8/1000)</f>
        <v>6.763016490642949</v>
      </c>
      <c r="AJ11" s="108" t="s">
        <v>34</v>
      </c>
      <c r="AK11" s="72" t="s">
        <v>105</v>
      </c>
      <c r="AL11" s="59">
        <v>40</v>
      </c>
      <c r="AM11" s="72" t="s">
        <v>78</v>
      </c>
      <c r="AN11" s="72" t="s">
        <v>105</v>
      </c>
      <c r="AO11" s="59">
        <v>40</v>
      </c>
      <c r="AP11" s="72" t="s">
        <v>78</v>
      </c>
      <c r="AQ11" s="72" t="s">
        <v>105</v>
      </c>
      <c r="AR11" s="59">
        <v>40</v>
      </c>
      <c r="AS11" s="72" t="s">
        <v>78</v>
      </c>
      <c r="AT11" t="s">
        <v>106</v>
      </c>
      <c r="AU11">
        <v>1</v>
      </c>
      <c r="AW11" t="s">
        <v>106</v>
      </c>
      <c r="AX11">
        <v>1</v>
      </c>
      <c r="AZ11" t="s">
        <v>106</v>
      </c>
      <c r="BA11">
        <v>1</v>
      </c>
      <c r="BC11" t="s">
        <v>106</v>
      </c>
      <c r="BD11">
        <v>1</v>
      </c>
      <c r="BF11" t="s">
        <v>106</v>
      </c>
      <c r="BG11">
        <v>1</v>
      </c>
      <c r="BI11" t="s">
        <v>106</v>
      </c>
      <c r="BJ11">
        <v>1</v>
      </c>
      <c r="BL11" t="s">
        <v>106</v>
      </c>
      <c r="BM11">
        <v>1</v>
      </c>
      <c r="BO11" t="s">
        <v>106</v>
      </c>
      <c r="BP11">
        <v>1</v>
      </c>
      <c r="BR11" s="61" t="s">
        <v>106</v>
      </c>
      <c r="BS11" s="61">
        <v>1</v>
      </c>
      <c r="BT11" s="61"/>
      <c r="BU11" s="61" t="s">
        <v>106</v>
      </c>
      <c r="BV11" s="61">
        <v>1</v>
      </c>
      <c r="BW11" s="61"/>
      <c r="BX11" s="61" t="s">
        <v>107</v>
      </c>
      <c r="BY11" s="68">
        <v>20</v>
      </c>
      <c r="BZ11" s="61"/>
    </row>
    <row r="12" spans="1:78" ht="12.75">
      <c r="A12" s="58" t="s">
        <v>108</v>
      </c>
      <c r="B12" s="75">
        <v>20</v>
      </c>
      <c r="C12" s="75" t="s">
        <v>83</v>
      </c>
      <c r="D12" t="s">
        <v>109</v>
      </c>
      <c r="E12" s="57">
        <v>60</v>
      </c>
      <c r="F12" s="74" t="s">
        <v>83</v>
      </c>
      <c r="G12" s="58" t="s">
        <v>110</v>
      </c>
      <c r="H12" s="65">
        <v>2</v>
      </c>
      <c r="J12" t="s">
        <v>50</v>
      </c>
      <c r="K12">
        <v>30</v>
      </c>
      <c r="M12" s="58" t="s">
        <v>111</v>
      </c>
      <c r="N12" s="65">
        <v>6</v>
      </c>
      <c r="P12" t="s">
        <v>112</v>
      </c>
      <c r="Q12" s="65">
        <f>0.21</f>
        <v>0.21000000000000002</v>
      </c>
      <c r="S12" s="58" t="s">
        <v>113</v>
      </c>
      <c r="T12" s="75">
        <v>0.4</v>
      </c>
      <c r="U12" s="75"/>
      <c r="V12" s="58" t="s">
        <v>113</v>
      </c>
      <c r="W12" s="75">
        <v>1</v>
      </c>
      <c r="X12" s="75"/>
      <c r="Y12" s="58" t="s">
        <v>113</v>
      </c>
      <c r="Z12" s="75">
        <v>1</v>
      </c>
      <c r="AA12" s="75"/>
      <c r="AB12" s="75" t="s">
        <v>96</v>
      </c>
      <c r="AC12" s="107">
        <f>AC5/(AC6*AC7/365*AC8*AC9*1000)</f>
        <v>0.0676301649064295</v>
      </c>
      <c r="AD12" s="108" t="s">
        <v>34</v>
      </c>
      <c r="AE12" t="s">
        <v>114</v>
      </c>
      <c r="AF12" s="58">
        <v>1</v>
      </c>
      <c r="AG12" s="75"/>
      <c r="AH12" s="75"/>
      <c r="AI12" s="75"/>
      <c r="AJ12" s="75"/>
      <c r="AK12" s="72" t="s">
        <v>115</v>
      </c>
      <c r="AL12" s="59">
        <v>6</v>
      </c>
      <c r="AM12" s="59"/>
      <c r="AN12" s="72" t="s">
        <v>115</v>
      </c>
      <c r="AO12" s="59">
        <v>6</v>
      </c>
      <c r="AP12" s="59"/>
      <c r="AQ12" s="72" t="s">
        <v>115</v>
      </c>
      <c r="AR12" s="59">
        <v>6</v>
      </c>
      <c r="AS12" s="59"/>
      <c r="AT12" t="s">
        <v>112</v>
      </c>
      <c r="AU12" s="100">
        <f>N22</f>
        <v>0.928</v>
      </c>
      <c r="AW12" t="s">
        <v>112</v>
      </c>
      <c r="AX12" s="100">
        <f>AU12</f>
        <v>0.928</v>
      </c>
      <c r="AZ12" t="s">
        <v>112</v>
      </c>
      <c r="BA12" s="100">
        <f>Q12</f>
        <v>0.21000000000000002</v>
      </c>
      <c r="BC12" t="s">
        <v>112</v>
      </c>
      <c r="BD12" s="100">
        <f>BA12</f>
        <v>0.21000000000000002</v>
      </c>
      <c r="BF12" t="s">
        <v>112</v>
      </c>
      <c r="BG12" s="100">
        <f>AU12</f>
        <v>0.928</v>
      </c>
      <c r="BI12" t="s">
        <v>112</v>
      </c>
      <c r="BJ12" s="100">
        <f>AX12</f>
        <v>0.928</v>
      </c>
      <c r="BL12" t="s">
        <v>112</v>
      </c>
      <c r="BM12" s="100">
        <f>BG12</f>
        <v>0.928</v>
      </c>
      <c r="BO12" t="s">
        <v>112</v>
      </c>
      <c r="BP12" s="100">
        <f>BJ12</f>
        <v>0.928</v>
      </c>
      <c r="BR12" s="61" t="s">
        <v>112</v>
      </c>
      <c r="BS12" s="109">
        <f>BM12</f>
        <v>0.928</v>
      </c>
      <c r="BT12" s="61"/>
      <c r="BU12" s="61" t="s">
        <v>112</v>
      </c>
      <c r="BV12" s="109">
        <f>BS12</f>
        <v>0.928</v>
      </c>
      <c r="BW12" s="61"/>
      <c r="BX12" s="61" t="s">
        <v>116</v>
      </c>
      <c r="BY12" s="61">
        <f>3</f>
        <v>3</v>
      </c>
      <c r="BZ12" s="61"/>
    </row>
    <row r="13" spans="1:78" ht="12.75">
      <c r="A13" t="s">
        <v>117</v>
      </c>
      <c r="B13">
        <v>24</v>
      </c>
      <c r="C13" t="s">
        <v>85</v>
      </c>
      <c r="D13" s="64" t="s">
        <v>118</v>
      </c>
      <c r="E13" s="57">
        <f>B17</f>
        <v>2.6E-11</v>
      </c>
      <c r="F13" s="64" t="s">
        <v>119</v>
      </c>
      <c r="G13" s="58" t="s">
        <v>120</v>
      </c>
      <c r="H13" s="75">
        <v>0.5</v>
      </c>
      <c r="I13" t="s">
        <v>121</v>
      </c>
      <c r="J13" t="s">
        <v>122</v>
      </c>
      <c r="K13">
        <v>0.5</v>
      </c>
      <c r="M13" s="58" t="s">
        <v>123</v>
      </c>
      <c r="N13" s="65">
        <v>200</v>
      </c>
      <c r="P13" t="s">
        <v>124</v>
      </c>
      <c r="Q13">
        <v>8</v>
      </c>
      <c r="S13" s="58" t="s">
        <v>112</v>
      </c>
      <c r="T13" s="110">
        <f>N22</f>
        <v>0.928</v>
      </c>
      <c r="U13" s="75"/>
      <c r="V13" s="58" t="s">
        <v>112</v>
      </c>
      <c r="W13" s="110">
        <f>T13</f>
        <v>0.928</v>
      </c>
      <c r="X13" s="75"/>
      <c r="Y13" s="58" t="s">
        <v>112</v>
      </c>
      <c r="Z13" s="110">
        <f>T13</f>
        <v>0.928</v>
      </c>
      <c r="AA13" s="75"/>
      <c r="AB13" s="75" t="s">
        <v>104</v>
      </c>
      <c r="AC13" s="107">
        <f>AC5/(AC6*AC7/365*AC8*AC10*1000)</f>
        <v>0.0676301649064295</v>
      </c>
      <c r="AD13" s="108" t="s">
        <v>34</v>
      </c>
      <c r="AE13" t="s">
        <v>125</v>
      </c>
      <c r="AF13" s="58">
        <v>1</v>
      </c>
      <c r="AG13" s="75"/>
      <c r="AH13" s="75"/>
      <c r="AI13" s="75"/>
      <c r="AJ13" s="75"/>
      <c r="AK13" s="72" t="s">
        <v>126</v>
      </c>
      <c r="AL13" s="59">
        <v>200</v>
      </c>
      <c r="AM13" s="59"/>
      <c r="AN13" s="72" t="s">
        <v>126</v>
      </c>
      <c r="AO13" s="59">
        <v>200</v>
      </c>
      <c r="AP13" s="59"/>
      <c r="AQ13" s="72" t="s">
        <v>126</v>
      </c>
      <c r="AR13" s="59">
        <v>200</v>
      </c>
      <c r="AS13" s="59"/>
      <c r="AT13" t="s">
        <v>127</v>
      </c>
      <c r="AU13">
        <v>0.073</v>
      </c>
      <c r="AV13" t="s">
        <v>128</v>
      </c>
      <c r="AW13" t="s">
        <v>127</v>
      </c>
      <c r="AX13">
        <v>0.073</v>
      </c>
      <c r="AY13" t="s">
        <v>128</v>
      </c>
      <c r="AZ13" t="s">
        <v>87</v>
      </c>
      <c r="BA13">
        <v>8</v>
      </c>
      <c r="BB13" t="s">
        <v>128</v>
      </c>
      <c r="BC13" t="s">
        <v>87</v>
      </c>
      <c r="BD13">
        <v>8</v>
      </c>
      <c r="BE13" t="s">
        <v>128</v>
      </c>
      <c r="BF13" t="s">
        <v>127</v>
      </c>
      <c r="BG13">
        <v>0</v>
      </c>
      <c r="BH13" t="s">
        <v>128</v>
      </c>
      <c r="BI13" t="s">
        <v>127</v>
      </c>
      <c r="BJ13">
        <v>0</v>
      </c>
      <c r="BK13" t="s">
        <v>128</v>
      </c>
      <c r="BL13" t="s">
        <v>127</v>
      </c>
      <c r="BM13">
        <v>0.33</v>
      </c>
      <c r="BN13" t="s">
        <v>128</v>
      </c>
      <c r="BO13" t="s">
        <v>87</v>
      </c>
      <c r="BP13">
        <v>0.33</v>
      </c>
      <c r="BQ13" t="s">
        <v>129</v>
      </c>
      <c r="BR13" s="61" t="s">
        <v>130</v>
      </c>
      <c r="BS13" s="61">
        <v>8</v>
      </c>
      <c r="BT13" s="61" t="s">
        <v>131</v>
      </c>
      <c r="BU13" s="61" t="s">
        <v>130</v>
      </c>
      <c r="BV13" s="61">
        <v>8</v>
      </c>
      <c r="BW13" s="61" t="s">
        <v>131</v>
      </c>
      <c r="BZ13" s="61"/>
    </row>
    <row r="14" spans="2:78" ht="12.75">
      <c r="B14">
        <v>24</v>
      </c>
      <c r="C14" t="s">
        <v>85</v>
      </c>
      <c r="D14" s="64" t="s">
        <v>113</v>
      </c>
      <c r="E14" s="64">
        <v>1</v>
      </c>
      <c r="G14" s="58" t="s">
        <v>74</v>
      </c>
      <c r="H14" s="70">
        <f>B9</f>
        <v>1.1499999999999999E-08</v>
      </c>
      <c r="I14" s="74" t="s">
        <v>56</v>
      </c>
      <c r="J14" s="74"/>
      <c r="K14" s="74"/>
      <c r="L14" s="74"/>
      <c r="M14" s="58" t="s">
        <v>132</v>
      </c>
      <c r="N14" s="63">
        <v>15</v>
      </c>
      <c r="O14" s="74"/>
      <c r="P14" s="74" t="s">
        <v>133</v>
      </c>
      <c r="Q14" s="74">
        <v>1</v>
      </c>
      <c r="R14" s="74"/>
      <c r="S14" s="58" t="s">
        <v>90</v>
      </c>
      <c r="T14" s="57">
        <f>N23</f>
        <v>2.29E-08</v>
      </c>
      <c r="U14" s="58" t="s">
        <v>134</v>
      </c>
      <c r="V14" s="58" t="s">
        <v>90</v>
      </c>
      <c r="W14" s="57">
        <f>T14</f>
        <v>2.29E-08</v>
      </c>
      <c r="X14" s="58" t="s">
        <v>134</v>
      </c>
      <c r="Y14" s="58" t="s">
        <v>90</v>
      </c>
      <c r="Z14" s="57">
        <f>T14</f>
        <v>2.29E-08</v>
      </c>
      <c r="AA14" s="58" t="s">
        <v>134</v>
      </c>
      <c r="AB14" s="58"/>
      <c r="AC14" s="58"/>
      <c r="AD14" s="58"/>
      <c r="AE14" s="58" t="s">
        <v>135</v>
      </c>
      <c r="AF14" s="58">
        <v>1</v>
      </c>
      <c r="AG14" s="58"/>
      <c r="AH14" s="58"/>
      <c r="AI14" s="58"/>
      <c r="AJ14" s="58"/>
      <c r="AK14" s="72" t="s">
        <v>132</v>
      </c>
      <c r="AL14" s="59">
        <v>15</v>
      </c>
      <c r="AM14" s="77"/>
      <c r="AN14" s="72" t="s">
        <v>132</v>
      </c>
      <c r="AO14" s="59">
        <v>15</v>
      </c>
      <c r="AP14" s="77"/>
      <c r="AQ14" s="72" t="s">
        <v>132</v>
      </c>
      <c r="AR14" s="59">
        <v>15</v>
      </c>
      <c r="AS14" s="77"/>
      <c r="AT14" t="s">
        <v>90</v>
      </c>
      <c r="AU14" s="70">
        <f>0.0000000229</f>
        <v>2.29E-08</v>
      </c>
      <c r="AV14" s="74" t="s">
        <v>136</v>
      </c>
      <c r="AW14" t="s">
        <v>90</v>
      </c>
      <c r="AX14" s="70">
        <f>0.0000000222</f>
        <v>2.2200000000000004E-08</v>
      </c>
      <c r="AY14" s="74" t="s">
        <v>136</v>
      </c>
      <c r="AZ14" t="s">
        <v>90</v>
      </c>
      <c r="BA14" s="70">
        <f>0.0000000229</f>
        <v>2.29E-08</v>
      </c>
      <c r="BB14" s="74" t="s">
        <v>136</v>
      </c>
      <c r="BC14" t="s">
        <v>90</v>
      </c>
      <c r="BD14" s="70">
        <f>0.0000000222</f>
        <v>2.2200000000000004E-08</v>
      </c>
      <c r="BE14" s="74" t="s">
        <v>136</v>
      </c>
      <c r="BF14" t="s">
        <v>90</v>
      </c>
      <c r="BG14" s="70">
        <f>AU14</f>
        <v>2.29E-08</v>
      </c>
      <c r="BH14" s="74" t="s">
        <v>136</v>
      </c>
      <c r="BI14" t="s">
        <v>90</v>
      </c>
      <c r="BJ14" s="70">
        <f>AX14</f>
        <v>2.2200000000000004E-08</v>
      </c>
      <c r="BK14" s="74" t="s">
        <v>136</v>
      </c>
      <c r="BL14" t="s">
        <v>90</v>
      </c>
      <c r="BM14" s="70">
        <f>BG14</f>
        <v>2.29E-08</v>
      </c>
      <c r="BN14" s="74" t="s">
        <v>136</v>
      </c>
      <c r="BO14" t="s">
        <v>90</v>
      </c>
      <c r="BP14" s="70">
        <f>BJ14</f>
        <v>2.2200000000000004E-08</v>
      </c>
      <c r="BQ14" s="74" t="s">
        <v>136</v>
      </c>
      <c r="BR14" s="61" t="s">
        <v>90</v>
      </c>
      <c r="BS14" s="68">
        <f>BM14</f>
        <v>2.29E-08</v>
      </c>
      <c r="BT14" s="61" t="s">
        <v>138</v>
      </c>
      <c r="BU14" s="61" t="s">
        <v>90</v>
      </c>
      <c r="BV14" s="68">
        <f>BP14</f>
        <v>2.2200000000000004E-08</v>
      </c>
      <c r="BW14" s="61" t="s">
        <v>138</v>
      </c>
      <c r="BX14" s="61"/>
      <c r="BY14" s="68"/>
      <c r="BZ14" s="61"/>
    </row>
    <row r="15" spans="1:78" ht="12.75">
      <c r="A15" t="s">
        <v>139</v>
      </c>
      <c r="B15" s="57">
        <v>6</v>
      </c>
      <c r="C15" t="s">
        <v>53</v>
      </c>
      <c r="D15" t="s">
        <v>140</v>
      </c>
      <c r="E15" s="57">
        <f>(E5)/((E10/E11)*E7*E8*E9*E12)</f>
        <v>0.0007729468599033816</v>
      </c>
      <c r="F15" t="s">
        <v>33</v>
      </c>
      <c r="G15" s="58" t="s">
        <v>141</v>
      </c>
      <c r="H15" s="63">
        <f>H11-H9</f>
        <v>24</v>
      </c>
      <c r="I15" s="74" t="s">
        <v>76</v>
      </c>
      <c r="J15" s="74"/>
      <c r="K15" s="74"/>
      <c r="L15" s="74"/>
      <c r="M15" s="58" t="s">
        <v>101</v>
      </c>
      <c r="N15" s="65">
        <f>30-N12</f>
        <v>24</v>
      </c>
      <c r="P15" t="s">
        <v>142</v>
      </c>
      <c r="Q15">
        <v>30</v>
      </c>
      <c r="S15" s="58" t="s">
        <v>143</v>
      </c>
      <c r="T15" s="57">
        <v>1360000000</v>
      </c>
      <c r="U15" s="58" t="s">
        <v>144</v>
      </c>
      <c r="V15" s="58" t="s">
        <v>143</v>
      </c>
      <c r="W15" s="57">
        <v>1360000000</v>
      </c>
      <c r="X15" s="58" t="s">
        <v>144</v>
      </c>
      <c r="Y15" s="58" t="s">
        <v>143</v>
      </c>
      <c r="Z15" s="57">
        <v>1360000000</v>
      </c>
      <c r="AA15" s="58" t="s">
        <v>144</v>
      </c>
      <c r="AB15" s="58"/>
      <c r="AC15" s="58"/>
      <c r="AD15" s="58"/>
      <c r="AE15" s="58" t="s">
        <v>145</v>
      </c>
      <c r="AF15" s="57">
        <f>AL27</f>
        <v>0.2</v>
      </c>
      <c r="AG15" s="58"/>
      <c r="AH15" s="58"/>
      <c r="AI15" s="58"/>
      <c r="AJ15" s="58"/>
      <c r="AK15" s="72" t="s">
        <v>146</v>
      </c>
      <c r="AL15" s="59">
        <v>34</v>
      </c>
      <c r="AM15" s="59"/>
      <c r="AN15" s="72" t="s">
        <v>146</v>
      </c>
      <c r="AO15" s="59">
        <v>34</v>
      </c>
      <c r="AP15" s="59"/>
      <c r="AQ15" s="72" t="s">
        <v>146</v>
      </c>
      <c r="AR15" s="59">
        <v>34</v>
      </c>
      <c r="AS15" s="59"/>
      <c r="AT15" t="s">
        <v>147</v>
      </c>
      <c r="AU15">
        <v>0.684</v>
      </c>
      <c r="AV15" t="s">
        <v>128</v>
      </c>
      <c r="AW15" t="s">
        <v>147</v>
      </c>
      <c r="AX15">
        <v>0.683</v>
      </c>
      <c r="AY15" t="s">
        <v>128</v>
      </c>
      <c r="BF15" s="74" t="s">
        <v>130</v>
      </c>
      <c r="BG15">
        <v>8</v>
      </c>
      <c r="BH15" s="74" t="s">
        <v>129</v>
      </c>
      <c r="BI15" s="74" t="s">
        <v>130</v>
      </c>
      <c r="BJ15">
        <v>8</v>
      </c>
      <c r="BK15" s="74" t="s">
        <v>129</v>
      </c>
      <c r="BL15" s="74" t="s">
        <v>130</v>
      </c>
      <c r="BM15">
        <v>8</v>
      </c>
      <c r="BN15" s="74" t="s">
        <v>129</v>
      </c>
      <c r="BO15" s="74" t="s">
        <v>130</v>
      </c>
      <c r="BP15">
        <v>8</v>
      </c>
      <c r="BQ15" s="74" t="s">
        <v>129</v>
      </c>
      <c r="BR15" s="74" t="s">
        <v>130</v>
      </c>
      <c r="BS15">
        <v>8</v>
      </c>
      <c r="BT15" s="74" t="s">
        <v>129</v>
      </c>
      <c r="BU15" s="74" t="s">
        <v>130</v>
      </c>
      <c r="BV15">
        <v>8</v>
      </c>
      <c r="BW15" s="74" t="s">
        <v>129</v>
      </c>
      <c r="BX15" s="61"/>
      <c r="BY15" s="61"/>
      <c r="BZ15" s="61"/>
    </row>
    <row r="16" spans="1:78" s="64" customFormat="1" ht="12.75">
      <c r="A16" s="64" t="s">
        <v>148</v>
      </c>
      <c r="B16" s="64">
        <v>24</v>
      </c>
      <c r="C16" s="64" t="s">
        <v>53</v>
      </c>
      <c r="D16" t="s">
        <v>149</v>
      </c>
      <c r="E16" s="57">
        <f>(E5)/((E10/E11)*E7*E8*E13*(1/365))</f>
        <v>7487.1794871794855</v>
      </c>
      <c r="F16" t="s">
        <v>33</v>
      </c>
      <c r="G16" s="58" t="s">
        <v>150</v>
      </c>
      <c r="H16">
        <v>1</v>
      </c>
      <c r="I16" t="s">
        <v>151</v>
      </c>
      <c r="J16" t="s">
        <v>152</v>
      </c>
      <c r="K16" s="57">
        <f>K5/(K11*K12*K7/8760*K9*K10)</f>
        <v>1819995.013712291</v>
      </c>
      <c r="L16"/>
      <c r="M16" s="58" t="s">
        <v>153</v>
      </c>
      <c r="N16" s="65">
        <v>100</v>
      </c>
      <c r="O16"/>
      <c r="P16"/>
      <c r="Q16"/>
      <c r="R16"/>
      <c r="S16" s="58" t="s">
        <v>74</v>
      </c>
      <c r="T16" s="70">
        <f>N25</f>
        <v>1.1499999999999999E-08</v>
      </c>
      <c r="U16" s="74" t="s">
        <v>56</v>
      </c>
      <c r="V16" s="58" t="s">
        <v>74</v>
      </c>
      <c r="W16" s="70">
        <f>T16</f>
        <v>1.1499999999999999E-08</v>
      </c>
      <c r="X16" s="74" t="s">
        <v>56</v>
      </c>
      <c r="Y16" s="58" t="s">
        <v>74</v>
      </c>
      <c r="Z16" s="70">
        <f>T16</f>
        <v>1.1499999999999999E-08</v>
      </c>
      <c r="AA16" s="74" t="s">
        <v>56</v>
      </c>
      <c r="AB16" s="74"/>
      <c r="AC16" s="74"/>
      <c r="AD16" s="74"/>
      <c r="AE16" s="74" t="s">
        <v>154</v>
      </c>
      <c r="AF16" s="74">
        <v>0.25</v>
      </c>
      <c r="AG16" s="74"/>
      <c r="AH16" s="74"/>
      <c r="AI16" s="74"/>
      <c r="AJ16" s="74"/>
      <c r="AK16" s="72" t="s">
        <v>155</v>
      </c>
      <c r="AL16" s="59">
        <v>100</v>
      </c>
      <c r="AM16" s="59"/>
      <c r="AN16" s="72" t="s">
        <v>155</v>
      </c>
      <c r="AO16" s="59">
        <v>100</v>
      </c>
      <c r="AP16" s="59"/>
      <c r="AQ16" s="72" t="s">
        <v>155</v>
      </c>
      <c r="AR16" s="59">
        <v>100</v>
      </c>
      <c r="AS16" s="59"/>
      <c r="BR16" s="62"/>
      <c r="BS16" s="62"/>
      <c r="BT16" s="62"/>
      <c r="BU16" s="62"/>
      <c r="BV16" s="62"/>
      <c r="BW16" s="62"/>
      <c r="BX16" s="62"/>
      <c r="BY16" s="62"/>
      <c r="BZ16" s="62"/>
    </row>
    <row r="17" spans="1:78" ht="12.75">
      <c r="A17" s="64" t="s">
        <v>118</v>
      </c>
      <c r="B17" s="57">
        <f>0.000000000026</f>
        <v>2.6E-11</v>
      </c>
      <c r="C17" s="64" t="s">
        <v>119</v>
      </c>
      <c r="D17" t="s">
        <v>140</v>
      </c>
      <c r="E17" s="57">
        <f>(E5*E6*E8)/((E10/E11)*(1-EXP(-E6*E8))*E9*E12*E7*E8)</f>
        <v>0.0007771379826342145</v>
      </c>
      <c r="F17" t="s">
        <v>35</v>
      </c>
      <c r="G17" s="58" t="s">
        <v>156</v>
      </c>
      <c r="H17">
        <v>1</v>
      </c>
      <c r="I17" t="s">
        <v>151</v>
      </c>
      <c r="J17" t="s">
        <v>157</v>
      </c>
      <c r="K17" s="57">
        <f>K5/(K6*K12*K8*K13*K10)</f>
        <v>0.06184291898577613</v>
      </c>
      <c r="M17" s="58" t="s">
        <v>158</v>
      </c>
      <c r="N17" s="75">
        <v>70</v>
      </c>
      <c r="O17" s="64"/>
      <c r="P17" s="64" t="s">
        <v>159</v>
      </c>
      <c r="Q17" s="64">
        <v>100</v>
      </c>
      <c r="R17" s="64"/>
      <c r="S17" s="58" t="s">
        <v>130</v>
      </c>
      <c r="T17">
        <v>8</v>
      </c>
      <c r="U17" s="74"/>
      <c r="V17" s="58" t="s">
        <v>130</v>
      </c>
      <c r="W17">
        <v>8</v>
      </c>
      <c r="X17" s="74"/>
      <c r="Y17" s="58" t="s">
        <v>130</v>
      </c>
      <c r="Z17">
        <v>8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72" t="s">
        <v>158</v>
      </c>
      <c r="AL17" s="59">
        <v>70</v>
      </c>
      <c r="AM17" s="66"/>
      <c r="AN17" s="72" t="s">
        <v>158</v>
      </c>
      <c r="AO17" s="59">
        <v>70</v>
      </c>
      <c r="AP17" s="66"/>
      <c r="AQ17" s="72" t="s">
        <v>158</v>
      </c>
      <c r="AR17" s="59">
        <v>70</v>
      </c>
      <c r="AS17" s="66"/>
      <c r="AT17" s="17" t="s">
        <v>10</v>
      </c>
      <c r="AU17" s="17" t="s">
        <v>160</v>
      </c>
      <c r="AV17" s="17" t="s">
        <v>338</v>
      </c>
      <c r="AW17" s="17" t="s">
        <v>10</v>
      </c>
      <c r="AX17" s="17" t="s">
        <v>161</v>
      </c>
      <c r="AY17" s="17" t="s">
        <v>338</v>
      </c>
      <c r="AZ17" s="5" t="s">
        <v>10</v>
      </c>
      <c r="BA17" s="5" t="s">
        <v>162</v>
      </c>
      <c r="BB17" s="5" t="s">
        <v>338</v>
      </c>
      <c r="BC17" s="5" t="s">
        <v>10</v>
      </c>
      <c r="BD17" s="5" t="s">
        <v>161</v>
      </c>
      <c r="BE17" s="5" t="s">
        <v>338</v>
      </c>
      <c r="BF17" s="18" t="s">
        <v>10</v>
      </c>
      <c r="BG17" s="18" t="s">
        <v>160</v>
      </c>
      <c r="BH17" s="18" t="s">
        <v>338</v>
      </c>
      <c r="BI17" s="18" t="s">
        <v>10</v>
      </c>
      <c r="BJ17" s="18" t="s">
        <v>161</v>
      </c>
      <c r="BK17" s="18" t="s">
        <v>338</v>
      </c>
      <c r="BL17" s="19" t="s">
        <v>10</v>
      </c>
      <c r="BM17" s="19" t="s">
        <v>160</v>
      </c>
      <c r="BN17" s="19" t="s">
        <v>338</v>
      </c>
      <c r="BO17" s="19" t="s">
        <v>10</v>
      </c>
      <c r="BP17" s="19" t="s">
        <v>161</v>
      </c>
      <c r="BQ17" s="19" t="s">
        <v>338</v>
      </c>
      <c r="BR17" s="20" t="s">
        <v>10</v>
      </c>
      <c r="BS17" s="20" t="s">
        <v>160</v>
      </c>
      <c r="BT17" s="20" t="s">
        <v>338</v>
      </c>
      <c r="BU17" s="20" t="s">
        <v>10</v>
      </c>
      <c r="BV17" s="20" t="s">
        <v>161</v>
      </c>
      <c r="BW17" s="20" t="s">
        <v>338</v>
      </c>
      <c r="BX17" s="21" t="s">
        <v>14</v>
      </c>
      <c r="BY17" s="21" t="s">
        <v>338</v>
      </c>
      <c r="BZ17" s="21" t="s">
        <v>163</v>
      </c>
    </row>
    <row r="18" spans="1:78" ht="14.25">
      <c r="A18" s="64" t="s">
        <v>113</v>
      </c>
      <c r="B18" s="64">
        <v>1</v>
      </c>
      <c r="D18" t="s">
        <v>149</v>
      </c>
      <c r="E18" s="57">
        <f>(E5*E6*E8)/((E10/E11)*(1-EXP(-E6*E8))*E13*E7*E8*(1/365))</f>
        <v>7527.776958708727</v>
      </c>
      <c r="F18" t="s">
        <v>35</v>
      </c>
      <c r="H18" s="65">
        <f>1/1000</f>
        <v>0.001</v>
      </c>
      <c r="I18" t="s">
        <v>164</v>
      </c>
      <c r="M18" s="58" t="s">
        <v>82</v>
      </c>
      <c r="N18" s="65">
        <f>(N12*N19+N15*N20)/(N12+N15)</f>
        <v>18</v>
      </c>
      <c r="O18" t="s">
        <v>83</v>
      </c>
      <c r="P18" t="s">
        <v>165</v>
      </c>
      <c r="Q18">
        <v>20</v>
      </c>
      <c r="S18" s="58" t="s">
        <v>166</v>
      </c>
      <c r="T18" s="63">
        <f>1/24</f>
        <v>0.041666666666666664</v>
      </c>
      <c r="V18" s="58" t="s">
        <v>166</v>
      </c>
      <c r="W18" s="63">
        <f>1/24</f>
        <v>0.041666666666666664</v>
      </c>
      <c r="Y18" s="58" t="s">
        <v>166</v>
      </c>
      <c r="Z18" s="63">
        <f>1/24</f>
        <v>0.041666666666666664</v>
      </c>
      <c r="AE18" t="s">
        <v>96</v>
      </c>
      <c r="AF18" s="105"/>
      <c r="AG18" s="106" t="s">
        <v>34</v>
      </c>
      <c r="AK18" s="72" t="s">
        <v>167</v>
      </c>
      <c r="AL18" s="59">
        <f>(AL12*AL19+AL15*AL20)/(AL11)</f>
        <v>18.5</v>
      </c>
      <c r="AM18" s="59" t="s">
        <v>83</v>
      </c>
      <c r="AN18" s="72" t="s">
        <v>167</v>
      </c>
      <c r="AO18" s="59">
        <f>(AO12*AO19+AO15*AO20)/(AO11)</f>
        <v>18.5</v>
      </c>
      <c r="AP18" s="59" t="s">
        <v>83</v>
      </c>
      <c r="AQ18" s="72" t="s">
        <v>167</v>
      </c>
      <c r="AR18" s="59">
        <f>(AR12*AR19+AR15*AR20)/(AR11)</f>
        <v>18.5</v>
      </c>
      <c r="AS18" s="59" t="s">
        <v>83</v>
      </c>
      <c r="AT18" s="25"/>
      <c r="AU18" s="17" t="s">
        <v>29</v>
      </c>
      <c r="AV18" s="26" t="s">
        <v>22</v>
      </c>
      <c r="AW18" s="25"/>
      <c r="AX18" s="17" t="s">
        <v>29</v>
      </c>
      <c r="AY18" s="26" t="s">
        <v>168</v>
      </c>
      <c r="AZ18" s="27"/>
      <c r="BA18" s="5" t="s">
        <v>8</v>
      </c>
      <c r="BB18" s="27" t="s">
        <v>22</v>
      </c>
      <c r="BC18" s="27"/>
      <c r="BD18" s="5" t="s">
        <v>8</v>
      </c>
      <c r="BE18" s="27" t="s">
        <v>22</v>
      </c>
      <c r="BF18" s="18" t="s">
        <v>5</v>
      </c>
      <c r="BG18" s="18" t="s">
        <v>30</v>
      </c>
      <c r="BH18" s="28" t="s">
        <v>22</v>
      </c>
      <c r="BI18" s="18" t="s">
        <v>5</v>
      </c>
      <c r="BJ18" s="18" t="s">
        <v>30</v>
      </c>
      <c r="BK18" s="28" t="s">
        <v>168</v>
      </c>
      <c r="BL18" s="19" t="s">
        <v>3</v>
      </c>
      <c r="BM18" s="19" t="s">
        <v>30</v>
      </c>
      <c r="BN18" s="29" t="s">
        <v>22</v>
      </c>
      <c r="BO18" s="19" t="s">
        <v>3</v>
      </c>
      <c r="BP18" s="19" t="s">
        <v>30</v>
      </c>
      <c r="BQ18" s="29" t="s">
        <v>168</v>
      </c>
      <c r="BR18" s="20" t="s">
        <v>31</v>
      </c>
      <c r="BS18" s="20" t="s">
        <v>30</v>
      </c>
      <c r="BT18" s="30" t="s">
        <v>22</v>
      </c>
      <c r="BU18" s="20" t="s">
        <v>31</v>
      </c>
      <c r="BV18" s="20" t="s">
        <v>30</v>
      </c>
      <c r="BW18" s="30" t="s">
        <v>168</v>
      </c>
      <c r="BX18" s="21" t="s">
        <v>22</v>
      </c>
      <c r="BY18" s="21" t="s">
        <v>29</v>
      </c>
      <c r="BZ18" s="21" t="s">
        <v>32</v>
      </c>
    </row>
    <row r="19" spans="1:78" ht="14.25">
      <c r="A19" t="s">
        <v>140</v>
      </c>
      <c r="B19" s="57">
        <f>(B5)/((B13/B14)*B7*B8*B9*B10)</f>
        <v>0.0004600874166091558</v>
      </c>
      <c r="C19" t="s">
        <v>33</v>
      </c>
      <c r="H19">
        <v>1000</v>
      </c>
      <c r="I19" t="s">
        <v>169</v>
      </c>
      <c r="M19" s="58" t="s">
        <v>100</v>
      </c>
      <c r="N19" s="75">
        <v>10</v>
      </c>
      <c r="O19" s="75" t="s">
        <v>83</v>
      </c>
      <c r="P19" s="75"/>
      <c r="Q19" s="75"/>
      <c r="R19" s="75"/>
      <c r="S19" s="63" t="s">
        <v>170</v>
      </c>
      <c r="T19" s="63">
        <v>25</v>
      </c>
      <c r="U19" s="63" t="s">
        <v>78</v>
      </c>
      <c r="V19" s="63" t="s">
        <v>170</v>
      </c>
      <c r="W19" s="63">
        <v>25</v>
      </c>
      <c r="X19" s="63" t="s">
        <v>78</v>
      </c>
      <c r="Y19" s="63" t="s">
        <v>170</v>
      </c>
      <c r="Z19" s="63">
        <v>25</v>
      </c>
      <c r="AA19" s="63" t="s">
        <v>78</v>
      </c>
      <c r="AB19" s="63"/>
      <c r="AC19" s="63"/>
      <c r="AD19" s="63"/>
      <c r="AE19" s="63" t="s">
        <v>104</v>
      </c>
      <c r="AF19" s="105">
        <f>AC13/(AF5*((AF7*AF9*AF10*(AF15+AF16))+(AF8*AF9)))</f>
        <v>0.004664149303891689</v>
      </c>
      <c r="AG19" s="111" t="s">
        <v>34</v>
      </c>
      <c r="AH19" s="63"/>
      <c r="AI19" s="63"/>
      <c r="AJ19" s="63"/>
      <c r="AK19" s="72" t="s">
        <v>171</v>
      </c>
      <c r="AL19" s="78">
        <v>10</v>
      </c>
      <c r="AM19" s="78" t="s">
        <v>83</v>
      </c>
      <c r="AN19" s="72" t="s">
        <v>171</v>
      </c>
      <c r="AO19" s="78">
        <v>10</v>
      </c>
      <c r="AP19" s="78" t="s">
        <v>83</v>
      </c>
      <c r="AQ19" s="72" t="s">
        <v>171</v>
      </c>
      <c r="AR19" s="78">
        <v>10</v>
      </c>
      <c r="AS19" s="78" t="s">
        <v>83</v>
      </c>
      <c r="AT19" s="17" t="s">
        <v>36</v>
      </c>
      <c r="AU19" s="25">
        <f>(AU21*AU22*AU23)/((1-EXP(-AU23*AU22))*AU25*AU30*(AU24/365)*AU28*((AU29)+(AU31*AU26)))</f>
        <v>30084.142996376664</v>
      </c>
      <c r="AV19" s="26" t="s">
        <v>34</v>
      </c>
      <c r="AW19" s="17" t="s">
        <v>36</v>
      </c>
      <c r="AX19" s="25">
        <f>(AX21*AX22*AX23)/((1-EXP(-AX23*AX22))*AX25*AX30*(AX24/365)*AX28*((AX29)+(AX31*AX26)))</f>
        <v>19.050597955496162</v>
      </c>
      <c r="AY19" s="26" t="s">
        <v>34</v>
      </c>
      <c r="AZ19" s="5" t="s">
        <v>36</v>
      </c>
      <c r="BA19" s="39">
        <f>(BA21*BA22*BA23)/(BA25*(1-EXP(-BA23*BA22))*BA30*(BA24/365)*BA28*BA29/24*BA27)</f>
        <v>138074.87033372457</v>
      </c>
      <c r="BB19" s="27" t="s">
        <v>34</v>
      </c>
      <c r="BC19" s="5" t="s">
        <v>36</v>
      </c>
      <c r="BD19" s="39">
        <f>(BD21*BD22*BD23)/(BD25*(1-EXP(-BD23*BD22))*BD30*(BD24/365)*BD28*BD29/24*BD27)</f>
        <v>87.53608241822816</v>
      </c>
      <c r="BE19" s="27" t="s">
        <v>34</v>
      </c>
      <c r="BF19" s="18" t="s">
        <v>36</v>
      </c>
      <c r="BG19" s="51">
        <f>(BG21*BG22*BG23)/((1-EXP(-BG23*BG22))*BG25*BG30*(BG24/365)*BG28*(BG31/24)*BG26)</f>
        <v>131088.943157167</v>
      </c>
      <c r="BH19" s="28" t="s">
        <v>34</v>
      </c>
      <c r="BI19" s="18" t="s">
        <v>36</v>
      </c>
      <c r="BJ19" s="51">
        <f>(BJ21*BJ22*BJ23)/((1-EXP(-BJ23*BJ22))*BJ25*BJ30*(BJ24/365)*BJ28*(BJ31/24)*BJ26)</f>
        <v>83.10717587196928</v>
      </c>
      <c r="BK19" s="28" t="s">
        <v>34</v>
      </c>
      <c r="BL19" s="19" t="s">
        <v>36</v>
      </c>
      <c r="BM19" s="52">
        <f>(BM21*BM22*BM23)/((1-EXP(-BM23*BM22))*BM25*BM30*(BM24/365)*BM28*(BM31/24)*BM27)</f>
        <v>58261.752514296444</v>
      </c>
      <c r="BN19" s="29" t="s">
        <v>34</v>
      </c>
      <c r="BO19" s="19" t="s">
        <v>36</v>
      </c>
      <c r="BP19" s="52">
        <f>(BP21*BP22*BP23)/((1-EXP(-BP23*BP22))*BP25*BP30*(BP24/365)*BP28*(BP31/24)*BP27)</f>
        <v>36.936522609764125</v>
      </c>
      <c r="BQ19" s="29" t="s">
        <v>34</v>
      </c>
      <c r="BR19" s="20"/>
      <c r="BS19" s="53">
        <f>(BS21*BS22*BS23)/((1-EXP(-BS23*BS22))*BS25*BS30*(BS24/365)*BS28*(BS31/24)*BS27)</f>
        <v>52435.5772628668</v>
      </c>
      <c r="BT19" s="30" t="s">
        <v>34</v>
      </c>
      <c r="BU19" s="20"/>
      <c r="BV19" s="53">
        <f>(BV21*BV22*BV23)/((1-EXP(-BV23*BV22))*BV25*BV30*(BV24/365)*BV28*(BV31/24)*BV27)</f>
        <v>33.24287034878771</v>
      </c>
      <c r="BW19" s="30" t="s">
        <v>34</v>
      </c>
      <c r="BX19" s="79">
        <f>(BY21*BY28*BY33*BY27*10^-3*BY26*BY23)/(BY25*BY36*(1-EXP(-BY23*BY26)))</f>
        <v>0.4081613757478324</v>
      </c>
      <c r="BY19" s="55" t="s">
        <v>34</v>
      </c>
      <c r="BZ19" s="21" t="s">
        <v>37</v>
      </c>
    </row>
    <row r="20" spans="1:78" ht="12.75">
      <c r="A20" t="s">
        <v>149</v>
      </c>
      <c r="B20" s="57">
        <f>(B5)/((B13/B14)*B7*B8*B17*(1/365)*B18)</f>
        <v>1336.9963369963368</v>
      </c>
      <c r="C20" t="s">
        <v>33</v>
      </c>
      <c r="D20" s="2" t="s">
        <v>2</v>
      </c>
      <c r="E20" s="2" t="s">
        <v>5</v>
      </c>
      <c r="F20" s="2" t="s">
        <v>338</v>
      </c>
      <c r="G20" t="s">
        <v>172</v>
      </c>
      <c r="H20">
        <v>1</v>
      </c>
      <c r="I20" t="s">
        <v>173</v>
      </c>
      <c r="M20" s="58" t="s">
        <v>108</v>
      </c>
      <c r="N20" s="75">
        <v>20</v>
      </c>
      <c r="O20" s="75" t="s">
        <v>83</v>
      </c>
      <c r="P20" s="75"/>
      <c r="Q20" s="75"/>
      <c r="R20" s="75"/>
      <c r="S20" s="63" t="s">
        <v>46</v>
      </c>
      <c r="T20" s="70">
        <f>N35</f>
        <v>0.000433</v>
      </c>
      <c r="V20" s="63" t="s">
        <v>46</v>
      </c>
      <c r="W20" s="70">
        <f>T20</f>
        <v>0.000433</v>
      </c>
      <c r="Y20" s="63" t="s">
        <v>46</v>
      </c>
      <c r="Z20" s="70">
        <f>T20</f>
        <v>0.000433</v>
      </c>
      <c r="AK20" s="72" t="s">
        <v>174</v>
      </c>
      <c r="AL20" s="78">
        <v>20</v>
      </c>
      <c r="AM20" s="78" t="s">
        <v>83</v>
      </c>
      <c r="AN20" s="72" t="s">
        <v>174</v>
      </c>
      <c r="AO20" s="78">
        <v>20</v>
      </c>
      <c r="AP20" s="78" t="s">
        <v>83</v>
      </c>
      <c r="AQ20" s="72" t="s">
        <v>174</v>
      </c>
      <c r="AR20" s="78">
        <v>20</v>
      </c>
      <c r="AS20" s="78" t="s">
        <v>83</v>
      </c>
      <c r="AT20" s="17" t="s">
        <v>41</v>
      </c>
      <c r="AU20" s="25"/>
      <c r="AV20" s="26"/>
      <c r="AW20" s="17" t="s">
        <v>41</v>
      </c>
      <c r="AX20" s="25"/>
      <c r="AY20" s="26"/>
      <c r="AZ20" s="5" t="s">
        <v>41</v>
      </c>
      <c r="BA20" s="27"/>
      <c r="BB20" s="27"/>
      <c r="BC20" s="5" t="s">
        <v>41</v>
      </c>
      <c r="BD20" s="27"/>
      <c r="BE20" s="27"/>
      <c r="BF20" s="18" t="s">
        <v>41</v>
      </c>
      <c r="BG20" s="51"/>
      <c r="BH20" s="28"/>
      <c r="BI20" s="18" t="s">
        <v>41</v>
      </c>
      <c r="BJ20" s="51"/>
      <c r="BK20" s="28"/>
      <c r="BL20" s="19" t="s">
        <v>41</v>
      </c>
      <c r="BM20" s="52"/>
      <c r="BN20" s="29"/>
      <c r="BO20" s="19" t="s">
        <v>41</v>
      </c>
      <c r="BP20" s="52"/>
      <c r="BQ20" s="29"/>
      <c r="BR20" s="20" t="s">
        <v>41</v>
      </c>
      <c r="BS20" s="56"/>
      <c r="BT20" s="30"/>
      <c r="BU20" s="20" t="s">
        <v>41</v>
      </c>
      <c r="BV20" s="56"/>
      <c r="BW20" s="30"/>
      <c r="BX20" s="79">
        <f>(BY22*BY28*BY33*BY27*10^-3*BY26*BY23)/(BY25*BY36*(1-EXP(-BY23*BY26)))</f>
        <v>7.452028273183943E-05</v>
      </c>
      <c r="BY20" s="55" t="s">
        <v>34</v>
      </c>
      <c r="BZ20" s="21" t="s">
        <v>42</v>
      </c>
    </row>
    <row r="21" spans="1:78" ht="12.75">
      <c r="A21" t="s">
        <v>140</v>
      </c>
      <c r="B21" s="57">
        <f>(B5*B8*B6)/((B13/B14)*B7*B8*(1-EXP(-B6*B8))*B9*B10)</f>
        <v>0.0004630821539615619</v>
      </c>
      <c r="C21" t="s">
        <v>35</v>
      </c>
      <c r="D21" s="2" t="s">
        <v>16</v>
      </c>
      <c r="E21" s="2" t="s">
        <v>14</v>
      </c>
      <c r="F21" s="2" t="s">
        <v>17</v>
      </c>
      <c r="G21" t="s">
        <v>175</v>
      </c>
      <c r="H21">
        <v>0.58</v>
      </c>
      <c r="I21" t="s">
        <v>173</v>
      </c>
      <c r="M21" s="58" t="s">
        <v>113</v>
      </c>
      <c r="N21" s="75">
        <v>0.4</v>
      </c>
      <c r="O21" s="75"/>
      <c r="P21" s="75"/>
      <c r="Q21" s="75"/>
      <c r="R21" s="75"/>
      <c r="T21" s="63">
        <v>365</v>
      </c>
      <c r="U21" t="s">
        <v>176</v>
      </c>
      <c r="W21" s="63">
        <v>365</v>
      </c>
      <c r="X21" t="s">
        <v>176</v>
      </c>
      <c r="Z21" s="63">
        <v>365</v>
      </c>
      <c r="AA21" t="s">
        <v>176</v>
      </c>
      <c r="AK21" s="72" t="s">
        <v>177</v>
      </c>
      <c r="AL21" s="78">
        <v>0.4</v>
      </c>
      <c r="AM21" s="78"/>
      <c r="AN21" s="72" t="s">
        <v>177</v>
      </c>
      <c r="AO21" s="78">
        <v>0.4</v>
      </c>
      <c r="AP21" s="78"/>
      <c r="AQ21" s="72" t="s">
        <v>177</v>
      </c>
      <c r="AR21" s="78">
        <v>0.4</v>
      </c>
      <c r="AS21" s="78"/>
      <c r="AT21" t="s">
        <v>43</v>
      </c>
      <c r="AU21" s="57">
        <v>1E-06</v>
      </c>
      <c r="AW21" t="s">
        <v>43</v>
      </c>
      <c r="AX21" s="57">
        <v>1E-06</v>
      </c>
      <c r="AZ21" t="s">
        <v>43</v>
      </c>
      <c r="BA21" s="57">
        <v>1E-06</v>
      </c>
      <c r="BC21" t="s">
        <v>43</v>
      </c>
      <c r="BD21" s="57">
        <v>1E-06</v>
      </c>
      <c r="BF21" t="s">
        <v>43</v>
      </c>
      <c r="BG21" s="57">
        <v>1E-06</v>
      </c>
      <c r="BI21" t="s">
        <v>43</v>
      </c>
      <c r="BJ21" s="57">
        <v>1E-06</v>
      </c>
      <c r="BL21" t="s">
        <v>43</v>
      </c>
      <c r="BM21" s="57">
        <v>1E-06</v>
      </c>
      <c r="BO21" t="s">
        <v>43</v>
      </c>
      <c r="BP21" s="57">
        <v>1E-06</v>
      </c>
      <c r="BR21" t="s">
        <v>43</v>
      </c>
      <c r="BS21" s="57">
        <v>1E-06</v>
      </c>
      <c r="BU21" t="s">
        <v>43</v>
      </c>
      <c r="BV21" s="57">
        <v>1E-06</v>
      </c>
      <c r="BX21" s="60" t="s">
        <v>45</v>
      </c>
      <c r="BY21" s="68">
        <f>BY5</f>
        <v>5</v>
      </c>
      <c r="BZ21" s="62" t="s">
        <v>19</v>
      </c>
    </row>
    <row r="22" spans="1:78" ht="12.75">
      <c r="A22" t="s">
        <v>149</v>
      </c>
      <c r="B22" s="57">
        <f>(B5*B8*B6)/((B13/B14)*B7*B8*(1-EXP(-B6*B8))*B17*(1/365)*B18)</f>
        <v>1345.6989285602233</v>
      </c>
      <c r="C22" t="s">
        <v>35</v>
      </c>
      <c r="D22" s="2" t="s">
        <v>35</v>
      </c>
      <c r="E22" s="33">
        <f>1/((1/E36)+(1/E37))</f>
        <v>0.0006994241121650083</v>
      </c>
      <c r="F22" s="34" t="s">
        <v>34</v>
      </c>
      <c r="G22" s="58" t="str">
        <f>A13</f>
        <v>ET ra</v>
      </c>
      <c r="H22" s="63">
        <f>B13</f>
        <v>24</v>
      </c>
      <c r="I22" s="63" t="str">
        <f>C13</f>
        <v>hrs/day</v>
      </c>
      <c r="J22" s="63"/>
      <c r="K22" s="63"/>
      <c r="L22" s="63"/>
      <c r="M22" s="58" t="s">
        <v>112</v>
      </c>
      <c r="N22" s="76">
        <f>0.928</f>
        <v>0.928</v>
      </c>
      <c r="O22" s="75"/>
      <c r="P22" s="75"/>
      <c r="Q22" s="75"/>
      <c r="R22" s="75"/>
      <c r="S22" s="74" t="s">
        <v>35</v>
      </c>
      <c r="T22" s="65">
        <f>(T19*T20)/(1-EXP(-T20*T19))</f>
        <v>1.005422265033015</v>
      </c>
      <c r="V22" s="74" t="s">
        <v>35</v>
      </c>
      <c r="W22" s="65">
        <f>(W19*W20)/(1-EXP(-W20*W19))</f>
        <v>1.005422265033015</v>
      </c>
      <c r="Y22" s="74" t="s">
        <v>35</v>
      </c>
      <c r="Z22" s="65">
        <f>(Z19*Z20)/(1-EXP(-Z20*Z19))</f>
        <v>1.005422265033015</v>
      </c>
      <c r="AK22" s="72" t="s">
        <v>112</v>
      </c>
      <c r="AL22" s="112">
        <f>N22</f>
        <v>0.928</v>
      </c>
      <c r="AM22" s="78"/>
      <c r="AN22" s="72" t="s">
        <v>112</v>
      </c>
      <c r="AO22" s="112">
        <f>AL22</f>
        <v>0.928</v>
      </c>
      <c r="AP22" s="78"/>
      <c r="AQ22" s="72" t="s">
        <v>112</v>
      </c>
      <c r="AR22" s="112">
        <f>AL22</f>
        <v>0.928</v>
      </c>
      <c r="AS22" s="78"/>
      <c r="AT22" t="s">
        <v>52</v>
      </c>
      <c r="AU22">
        <v>30</v>
      </c>
      <c r="AV22" t="s">
        <v>53</v>
      </c>
      <c r="AW22" t="s">
        <v>52</v>
      </c>
      <c r="AX22">
        <v>30</v>
      </c>
      <c r="AY22" t="s">
        <v>53</v>
      </c>
      <c r="AZ22" t="s">
        <v>52</v>
      </c>
      <c r="BA22">
        <v>30</v>
      </c>
      <c r="BB22" t="s">
        <v>53</v>
      </c>
      <c r="BC22" t="s">
        <v>52</v>
      </c>
      <c r="BD22">
        <v>30</v>
      </c>
      <c r="BE22" t="s">
        <v>53</v>
      </c>
      <c r="BF22" t="s">
        <v>52</v>
      </c>
      <c r="BG22">
        <v>25</v>
      </c>
      <c r="BH22" t="s">
        <v>53</v>
      </c>
      <c r="BI22" t="s">
        <v>52</v>
      </c>
      <c r="BJ22">
        <v>25</v>
      </c>
      <c r="BK22" t="s">
        <v>53</v>
      </c>
      <c r="BL22" t="s">
        <v>52</v>
      </c>
      <c r="BM22">
        <v>25</v>
      </c>
      <c r="BN22" t="s">
        <v>53</v>
      </c>
      <c r="BO22" t="s">
        <v>52</v>
      </c>
      <c r="BP22">
        <v>25</v>
      </c>
      <c r="BQ22" t="s">
        <v>53</v>
      </c>
      <c r="BR22" t="s">
        <v>52</v>
      </c>
      <c r="BS22">
        <v>25</v>
      </c>
      <c r="BT22" t="s">
        <v>53</v>
      </c>
      <c r="BU22" t="s">
        <v>52</v>
      </c>
      <c r="BV22">
        <v>25</v>
      </c>
      <c r="BW22" t="s">
        <v>53</v>
      </c>
      <c r="BX22" s="61" t="s">
        <v>14</v>
      </c>
      <c r="BY22" s="68">
        <f>H3</f>
        <v>0.0009128776895572681</v>
      </c>
      <c r="BZ22" s="62" t="s">
        <v>19</v>
      </c>
    </row>
    <row r="23" spans="4:78" ht="12.75">
      <c r="D23" s="2" t="s">
        <v>33</v>
      </c>
      <c r="E23" s="33">
        <f>1/((1/E34)+(1/E35))</f>
        <v>0.0006956521020966661</v>
      </c>
      <c r="F23" s="34" t="s">
        <v>34</v>
      </c>
      <c r="H23" s="63"/>
      <c r="M23" s="58" t="s">
        <v>90</v>
      </c>
      <c r="N23" s="57">
        <f>0.0000000229</f>
        <v>2.29E-08</v>
      </c>
      <c r="O23" s="58" t="s">
        <v>134</v>
      </c>
      <c r="P23" s="58"/>
      <c r="Q23" s="58"/>
      <c r="R23" s="58"/>
      <c r="T23">
        <v>1000</v>
      </c>
      <c r="U23" t="s">
        <v>178</v>
      </c>
      <c r="W23">
        <v>1000</v>
      </c>
      <c r="X23" t="s">
        <v>178</v>
      </c>
      <c r="Z23">
        <v>1000</v>
      </c>
      <c r="AA23" t="s">
        <v>178</v>
      </c>
      <c r="AK23" s="72" t="s">
        <v>90</v>
      </c>
      <c r="AL23" s="71">
        <f>Z14</f>
        <v>2.29E-08</v>
      </c>
      <c r="AM23" s="72" t="s">
        <v>179</v>
      </c>
      <c r="AN23" s="72" t="s">
        <v>90</v>
      </c>
      <c r="AO23" s="71">
        <f>AL23</f>
        <v>2.29E-08</v>
      </c>
      <c r="AP23" s="72" t="s">
        <v>179</v>
      </c>
      <c r="AQ23" s="72" t="s">
        <v>90</v>
      </c>
      <c r="AR23" s="71">
        <f>AL23</f>
        <v>2.29E-08</v>
      </c>
      <c r="AS23" s="72" t="s">
        <v>179</v>
      </c>
      <c r="AT23" t="s">
        <v>46</v>
      </c>
      <c r="AU23" s="70">
        <f>AU7</f>
        <v>0.000433</v>
      </c>
      <c r="AW23" t="s">
        <v>46</v>
      </c>
      <c r="AX23" s="70">
        <f>AU7</f>
        <v>0.000433</v>
      </c>
      <c r="AZ23" t="s">
        <v>46</v>
      </c>
      <c r="BA23" s="70">
        <f>AX23</f>
        <v>0.000433</v>
      </c>
      <c r="BC23" t="s">
        <v>46</v>
      </c>
      <c r="BD23" s="70">
        <f>BA23</f>
        <v>0.000433</v>
      </c>
      <c r="BF23" t="s">
        <v>46</v>
      </c>
      <c r="BG23" s="70">
        <f>AX23</f>
        <v>0.000433</v>
      </c>
      <c r="BI23" t="s">
        <v>46</v>
      </c>
      <c r="BJ23" s="70">
        <f>BG23</f>
        <v>0.000433</v>
      </c>
      <c r="BL23" t="s">
        <v>46</v>
      </c>
      <c r="BM23" s="70">
        <f>BJ23</f>
        <v>0.000433</v>
      </c>
      <c r="BO23" t="s">
        <v>46</v>
      </c>
      <c r="BP23" s="70">
        <f>BM7</f>
        <v>0.000433</v>
      </c>
      <c r="BR23" s="61" t="s">
        <v>46</v>
      </c>
      <c r="BS23" s="68">
        <f>BS7</f>
        <v>0.000433</v>
      </c>
      <c r="BT23" s="61"/>
      <c r="BU23" s="61" t="s">
        <v>46</v>
      </c>
      <c r="BV23" s="68">
        <f>BS7</f>
        <v>0.000433</v>
      </c>
      <c r="BW23" s="61"/>
      <c r="BX23" s="61" t="s">
        <v>46</v>
      </c>
      <c r="BY23" s="68">
        <f>BY7</f>
        <v>0.000433</v>
      </c>
      <c r="BZ23" s="61"/>
    </row>
    <row r="24" spans="1:78" ht="12.75">
      <c r="A24" s="5" t="s">
        <v>0</v>
      </c>
      <c r="B24" s="5"/>
      <c r="C24" s="5" t="s">
        <v>338</v>
      </c>
      <c r="D24" t="s">
        <v>43</v>
      </c>
      <c r="E24" s="57">
        <v>1E-06</v>
      </c>
      <c r="G24" t="s">
        <v>180</v>
      </c>
      <c r="H24" s="65">
        <f>B7</f>
        <v>350</v>
      </c>
      <c r="I24" t="str">
        <f>C7</f>
        <v>day/yr</v>
      </c>
      <c r="M24" s="58" t="s">
        <v>143</v>
      </c>
      <c r="N24" s="57">
        <v>1360000000</v>
      </c>
      <c r="O24" s="58" t="s">
        <v>144</v>
      </c>
      <c r="P24" s="58" t="s">
        <v>143</v>
      </c>
      <c r="Q24" s="57">
        <v>1360000000</v>
      </c>
      <c r="R24" s="58" t="s">
        <v>144</v>
      </c>
      <c r="AK24" s="72" t="s">
        <v>143</v>
      </c>
      <c r="AL24" s="71">
        <v>1360000000</v>
      </c>
      <c r="AM24" s="72" t="s">
        <v>144</v>
      </c>
      <c r="AN24" s="72" t="s">
        <v>143</v>
      </c>
      <c r="AO24" s="71">
        <v>1360000000</v>
      </c>
      <c r="AP24" s="72" t="s">
        <v>144</v>
      </c>
      <c r="AQ24" s="72" t="s">
        <v>143</v>
      </c>
      <c r="AR24" s="71">
        <v>1360000000</v>
      </c>
      <c r="AS24" s="72" t="s">
        <v>144</v>
      </c>
      <c r="AT24" t="s">
        <v>47</v>
      </c>
      <c r="AU24">
        <v>350</v>
      </c>
      <c r="AV24" t="s">
        <v>54</v>
      </c>
      <c r="AW24" t="s">
        <v>47</v>
      </c>
      <c r="AX24">
        <v>350</v>
      </c>
      <c r="AY24" t="s">
        <v>54</v>
      </c>
      <c r="AZ24" t="s">
        <v>47</v>
      </c>
      <c r="BA24">
        <v>350</v>
      </c>
      <c r="BB24" t="s">
        <v>54</v>
      </c>
      <c r="BC24" t="s">
        <v>47</v>
      </c>
      <c r="BD24">
        <v>350</v>
      </c>
      <c r="BE24" t="s">
        <v>54</v>
      </c>
      <c r="BF24" t="s">
        <v>47</v>
      </c>
      <c r="BG24">
        <v>250</v>
      </c>
      <c r="BH24" t="s">
        <v>54</v>
      </c>
      <c r="BI24" t="s">
        <v>47</v>
      </c>
      <c r="BJ24">
        <v>250</v>
      </c>
      <c r="BK24" t="s">
        <v>54</v>
      </c>
      <c r="BL24" t="s">
        <v>47</v>
      </c>
      <c r="BM24">
        <v>225</v>
      </c>
      <c r="BN24" t="s">
        <v>54</v>
      </c>
      <c r="BO24" t="s">
        <v>47</v>
      </c>
      <c r="BP24">
        <v>225</v>
      </c>
      <c r="BQ24" t="s">
        <v>54</v>
      </c>
      <c r="BR24" s="61" t="s">
        <v>47</v>
      </c>
      <c r="BS24" s="61">
        <v>250</v>
      </c>
      <c r="BT24" s="61" t="s">
        <v>54</v>
      </c>
      <c r="BU24" s="61" t="s">
        <v>47</v>
      </c>
      <c r="BV24" s="61">
        <v>250</v>
      </c>
      <c r="BW24" s="61" t="s">
        <v>54</v>
      </c>
      <c r="BX24" s="61" t="s">
        <v>181</v>
      </c>
      <c r="BY24" s="61">
        <v>0.30000000000000004</v>
      </c>
      <c r="BZ24" s="61"/>
    </row>
    <row r="25" spans="1:78" ht="12.75">
      <c r="A25" s="5" t="s">
        <v>182</v>
      </c>
      <c r="B25" s="5" t="s">
        <v>14</v>
      </c>
      <c r="C25" s="5" t="s">
        <v>22</v>
      </c>
      <c r="D25" s="58" t="s">
        <v>46</v>
      </c>
      <c r="E25" s="57">
        <f>E6</f>
        <v>0.000433</v>
      </c>
      <c r="G25" t="s">
        <v>57</v>
      </c>
      <c r="H25" s="57">
        <f>0.0000000000000573</f>
        <v>5.73E-14</v>
      </c>
      <c r="I25" t="s">
        <v>183</v>
      </c>
      <c r="M25" s="58" t="s">
        <v>74</v>
      </c>
      <c r="N25" s="70">
        <f>B9</f>
        <v>1.1499999999999999E-08</v>
      </c>
      <c r="O25" s="74" t="s">
        <v>56</v>
      </c>
      <c r="P25" s="74"/>
      <c r="Q25" s="74"/>
      <c r="R25" s="74"/>
      <c r="S25" s="58" t="s">
        <v>184</v>
      </c>
      <c r="T25" s="57">
        <f>(T5/(T8*T10*T7*T9*(1/T6)))*T22</f>
        <v>10.906275417307278</v>
      </c>
      <c r="U25" s="58"/>
      <c r="V25" s="58" t="s">
        <v>184</v>
      </c>
      <c r="W25" s="57">
        <f>(W5/(W8*W10*W7*W9*(1/W6)))*W22</f>
        <v>6.059041898504043</v>
      </c>
      <c r="X25" s="58"/>
      <c r="Y25" s="58" t="s">
        <v>184</v>
      </c>
      <c r="Z25" s="57">
        <f>(Z5/(Z8*Z10*Z7*Z9*(1/Z6)))*Z22</f>
        <v>5.453137708653639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72" t="s">
        <v>74</v>
      </c>
      <c r="AL25" s="81">
        <f>Z16</f>
        <v>1.1499999999999999E-08</v>
      </c>
      <c r="AM25" s="77" t="s">
        <v>186</v>
      </c>
      <c r="AN25" s="72" t="s">
        <v>74</v>
      </c>
      <c r="AO25" s="81">
        <f>AL16</f>
        <v>100</v>
      </c>
      <c r="AP25" s="77" t="s">
        <v>186</v>
      </c>
      <c r="AQ25" s="72" t="s">
        <v>74</v>
      </c>
      <c r="AR25" s="81">
        <f>AO16</f>
        <v>100</v>
      </c>
      <c r="AS25" s="77" t="s">
        <v>186</v>
      </c>
      <c r="AT25" t="s">
        <v>50</v>
      </c>
      <c r="AU25">
        <v>30</v>
      </c>
      <c r="AV25" t="s">
        <v>53</v>
      </c>
      <c r="AW25" t="s">
        <v>50</v>
      </c>
      <c r="AX25">
        <v>30</v>
      </c>
      <c r="AY25" t="s">
        <v>53</v>
      </c>
      <c r="AZ25" t="s">
        <v>50</v>
      </c>
      <c r="BA25">
        <v>30</v>
      </c>
      <c r="BB25" t="s">
        <v>53</v>
      </c>
      <c r="BC25" t="s">
        <v>50</v>
      </c>
      <c r="BD25">
        <v>30</v>
      </c>
      <c r="BE25" t="s">
        <v>53</v>
      </c>
      <c r="BF25" t="s">
        <v>50</v>
      </c>
      <c r="BG25">
        <v>25</v>
      </c>
      <c r="BH25" t="s">
        <v>53</v>
      </c>
      <c r="BI25" t="s">
        <v>50</v>
      </c>
      <c r="BJ25">
        <v>25</v>
      </c>
      <c r="BK25" t="s">
        <v>53</v>
      </c>
      <c r="BL25" t="s">
        <v>50</v>
      </c>
      <c r="BM25">
        <v>25</v>
      </c>
      <c r="BN25" t="s">
        <v>53</v>
      </c>
      <c r="BO25" t="s">
        <v>50</v>
      </c>
      <c r="BP25">
        <v>25</v>
      </c>
      <c r="BQ25" t="s">
        <v>53</v>
      </c>
      <c r="BR25" t="s">
        <v>50</v>
      </c>
      <c r="BS25">
        <v>25</v>
      </c>
      <c r="BT25" t="s">
        <v>53</v>
      </c>
      <c r="BU25" t="s">
        <v>50</v>
      </c>
      <c r="BV25">
        <v>25</v>
      </c>
      <c r="BW25" t="s">
        <v>53</v>
      </c>
      <c r="BX25" s="61" t="s">
        <v>187</v>
      </c>
      <c r="BY25" s="68">
        <v>1.5</v>
      </c>
      <c r="BZ25" s="61"/>
    </row>
    <row r="26" spans="1:78" ht="12.75">
      <c r="A26" s="5" t="s">
        <v>182</v>
      </c>
      <c r="B26" s="39">
        <f>B33</f>
        <v>0.0034312615376169203</v>
      </c>
      <c r="C26" s="27" t="s">
        <v>34</v>
      </c>
      <c r="D26" t="s">
        <v>47</v>
      </c>
      <c r="E26">
        <v>250</v>
      </c>
      <c r="F26" t="s">
        <v>54</v>
      </c>
      <c r="G26" t="s">
        <v>188</v>
      </c>
      <c r="H26" s="82">
        <f>(H27*H29*H9+H28*H29*H22)/H11</f>
        <v>0.6639999999999999</v>
      </c>
      <c r="I26" t="s">
        <v>129</v>
      </c>
      <c r="M26" s="58" t="s">
        <v>127</v>
      </c>
      <c r="N26" s="57">
        <v>0.073</v>
      </c>
      <c r="O26" s="74"/>
      <c r="P26" s="74"/>
      <c r="Q26" s="74"/>
      <c r="R26" s="74"/>
      <c r="S26" s="58" t="s">
        <v>140</v>
      </c>
      <c r="T26" s="57">
        <f>(T5/(T16*T11*T7*T9*(1/T15)*T17*T18*T23))*T22</f>
        <v>951.2168907442784</v>
      </c>
      <c r="U26" s="58"/>
      <c r="V26" s="58" t="s">
        <v>140</v>
      </c>
      <c r="W26" s="57">
        <f>(W5/(W16*W11*W7*W9*(1/W15)*W17*W18*W23))*W22</f>
        <v>1056.9076563825317</v>
      </c>
      <c r="X26" s="58"/>
      <c r="Y26" s="58" t="s">
        <v>140</v>
      </c>
      <c r="Z26" s="57">
        <f>(Z5/(Z16*Z11*Z7*Z9*(1/Z15)*Z17*Z18*Z23))*Z22</f>
        <v>951.2168907442784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72" t="s">
        <v>189</v>
      </c>
      <c r="AL26" s="71">
        <f>0.04</f>
        <v>0.04</v>
      </c>
      <c r="AM26" s="77"/>
      <c r="AN26" s="72"/>
      <c r="AO26" s="59"/>
      <c r="AP26" s="77"/>
      <c r="AQ26" s="72" t="s">
        <v>189</v>
      </c>
      <c r="AR26" s="71">
        <f>AL26</f>
        <v>0.04</v>
      </c>
      <c r="AS26" s="77"/>
      <c r="AT26" t="s">
        <v>98</v>
      </c>
      <c r="AU26">
        <v>0.4</v>
      </c>
      <c r="AW26" t="s">
        <v>98</v>
      </c>
      <c r="AX26">
        <v>0.4</v>
      </c>
      <c r="AZ26" t="s">
        <v>98</v>
      </c>
      <c r="BA26">
        <v>0.4</v>
      </c>
      <c r="BC26" t="s">
        <v>98</v>
      </c>
      <c r="BD26">
        <v>0.4</v>
      </c>
      <c r="BF26" t="s">
        <v>98</v>
      </c>
      <c r="BG26">
        <v>0.4</v>
      </c>
      <c r="BI26" t="s">
        <v>98</v>
      </c>
      <c r="BJ26">
        <v>0.4</v>
      </c>
      <c r="BL26" t="s">
        <v>98</v>
      </c>
      <c r="BM26">
        <v>0.4</v>
      </c>
      <c r="BO26" t="s">
        <v>98</v>
      </c>
      <c r="BP26">
        <v>0.4</v>
      </c>
      <c r="BR26" s="61"/>
      <c r="BS26" s="61"/>
      <c r="BT26" s="61"/>
      <c r="BU26" s="61"/>
      <c r="BV26" s="61"/>
      <c r="BW26" s="61"/>
      <c r="BX26" s="61" t="s">
        <v>52</v>
      </c>
      <c r="BY26" s="61">
        <v>30</v>
      </c>
      <c r="BZ26" s="61"/>
    </row>
    <row r="27" spans="1:78" ht="12.75">
      <c r="A27" s="5"/>
      <c r="B27" s="39" t="s">
        <v>29</v>
      </c>
      <c r="C27" s="27"/>
      <c r="D27" t="s">
        <v>50</v>
      </c>
      <c r="E27">
        <v>25</v>
      </c>
      <c r="F27" t="s">
        <v>53</v>
      </c>
      <c r="G27" t="s">
        <v>190</v>
      </c>
      <c r="H27">
        <v>1</v>
      </c>
      <c r="I27" t="s">
        <v>191</v>
      </c>
      <c r="M27" s="58" t="s">
        <v>147</v>
      </c>
      <c r="N27" s="70">
        <v>0.684</v>
      </c>
      <c r="O27" s="74"/>
      <c r="P27" s="74"/>
      <c r="Q27" s="74"/>
      <c r="R27" s="74"/>
      <c r="S27" s="58" t="s">
        <v>192</v>
      </c>
      <c r="T27" s="57">
        <f>(T5/(T14*T13*T17*T18*T12*T7*(1/T21)*T9))*T22</f>
        <v>20.722356953229013</v>
      </c>
      <c r="U27" s="58"/>
      <c r="V27" s="58" t="s">
        <v>192</v>
      </c>
      <c r="W27" s="57">
        <f>(W5/(W14*W13*W17*W18*W12*W7*(1/W21)*W9))*W22</f>
        <v>9.209936423657343</v>
      </c>
      <c r="X27" s="58"/>
      <c r="Y27" s="58" t="s">
        <v>192</v>
      </c>
      <c r="Z27" s="57">
        <f>(Z5/(Z14*Z13*Z17*Z18*Z12*Z7*(1/Z21)*Z9))*Z22</f>
        <v>8.288942781291608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72" t="s">
        <v>145</v>
      </c>
      <c r="AL27" s="81">
        <f>0.2</f>
        <v>0.2</v>
      </c>
      <c r="AM27" s="77"/>
      <c r="AN27" s="72"/>
      <c r="AO27" s="81"/>
      <c r="AP27" s="77"/>
      <c r="AQ27" s="72" t="s">
        <v>145</v>
      </c>
      <c r="AR27" s="81">
        <f>AL27</f>
        <v>0.2</v>
      </c>
      <c r="AS27" s="77"/>
      <c r="AT27" t="s">
        <v>106</v>
      </c>
      <c r="AU27">
        <v>1</v>
      </c>
      <c r="AW27" t="s">
        <v>106</v>
      </c>
      <c r="AX27">
        <v>1</v>
      </c>
      <c r="AZ27" t="s">
        <v>106</v>
      </c>
      <c r="BA27">
        <v>1</v>
      </c>
      <c r="BC27" t="s">
        <v>106</v>
      </c>
      <c r="BD27">
        <v>1</v>
      </c>
      <c r="BF27" t="s">
        <v>106</v>
      </c>
      <c r="BG27">
        <v>1</v>
      </c>
      <c r="BI27" t="s">
        <v>106</v>
      </c>
      <c r="BJ27">
        <v>1</v>
      </c>
      <c r="BL27" t="s">
        <v>106</v>
      </c>
      <c r="BM27">
        <v>1</v>
      </c>
      <c r="BO27" t="s">
        <v>106</v>
      </c>
      <c r="BP27">
        <v>1</v>
      </c>
      <c r="BR27" s="61" t="s">
        <v>106</v>
      </c>
      <c r="BS27" s="61">
        <v>1</v>
      </c>
      <c r="BT27" s="61"/>
      <c r="BU27" s="61" t="s">
        <v>106</v>
      </c>
      <c r="BV27" s="61">
        <v>1</v>
      </c>
      <c r="BW27" s="61"/>
      <c r="BX27" s="61" t="s">
        <v>193</v>
      </c>
      <c r="BY27" s="68">
        <v>70</v>
      </c>
      <c r="BZ27" s="61"/>
    </row>
    <row r="28" spans="1:78" ht="12.75">
      <c r="A28" s="58" t="s">
        <v>43</v>
      </c>
      <c r="B28" s="57">
        <v>1E-06</v>
      </c>
      <c r="D28" t="s">
        <v>74</v>
      </c>
      <c r="E28" s="70">
        <f>B9</f>
        <v>1.1499999999999999E-08</v>
      </c>
      <c r="F28" s="74" t="s">
        <v>56</v>
      </c>
      <c r="G28" t="s">
        <v>194</v>
      </c>
      <c r="H28">
        <v>0.58</v>
      </c>
      <c r="I28" t="s">
        <v>191</v>
      </c>
      <c r="M28" s="58" t="s">
        <v>50</v>
      </c>
      <c r="N28" s="63">
        <v>30</v>
      </c>
      <c r="O28" s="74" t="s">
        <v>76</v>
      </c>
      <c r="P28" s="74"/>
      <c r="Q28" s="74"/>
      <c r="R28" s="74"/>
      <c r="S28" s="58"/>
      <c r="T28" s="63"/>
      <c r="U28" s="74"/>
      <c r="V28" s="58"/>
      <c r="W28" s="63"/>
      <c r="X28" s="74"/>
      <c r="Y28" s="58"/>
      <c r="Z28" s="6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2" t="s">
        <v>105</v>
      </c>
      <c r="AL28" s="73">
        <v>40</v>
      </c>
      <c r="AM28" s="77" t="s">
        <v>76</v>
      </c>
      <c r="AN28" s="72" t="s">
        <v>105</v>
      </c>
      <c r="AO28" s="73">
        <v>40</v>
      </c>
      <c r="AP28" s="77" t="s">
        <v>76</v>
      </c>
      <c r="AQ28" s="72" t="s">
        <v>105</v>
      </c>
      <c r="AR28" s="73">
        <v>40</v>
      </c>
      <c r="AS28" s="77" t="s">
        <v>76</v>
      </c>
      <c r="AT28" t="s">
        <v>112</v>
      </c>
      <c r="AU28" s="100">
        <f>AU12</f>
        <v>0.928</v>
      </c>
      <c r="AW28" t="s">
        <v>112</v>
      </c>
      <c r="AX28" s="100">
        <f>AU12</f>
        <v>0.928</v>
      </c>
      <c r="AZ28" t="s">
        <v>112</v>
      </c>
      <c r="BA28" s="100">
        <f>BA12</f>
        <v>0.21000000000000002</v>
      </c>
      <c r="BC28" t="s">
        <v>112</v>
      </c>
      <c r="BD28" s="100">
        <f>BA12</f>
        <v>0.21000000000000002</v>
      </c>
      <c r="BF28" t="s">
        <v>112</v>
      </c>
      <c r="BG28" s="100">
        <f>AU28</f>
        <v>0.928</v>
      </c>
      <c r="BI28" t="s">
        <v>112</v>
      </c>
      <c r="BJ28" s="100">
        <f>AX28</f>
        <v>0.928</v>
      </c>
      <c r="BL28" t="s">
        <v>112</v>
      </c>
      <c r="BM28" s="100">
        <f>BG28</f>
        <v>0.928</v>
      </c>
      <c r="BO28" t="s">
        <v>112</v>
      </c>
      <c r="BP28" s="100">
        <f>BJ28</f>
        <v>0.928</v>
      </c>
      <c r="BR28" s="61" t="s">
        <v>112</v>
      </c>
      <c r="BS28" s="109">
        <f>BS12</f>
        <v>0.928</v>
      </c>
      <c r="BT28" s="61"/>
      <c r="BU28" s="61" t="s">
        <v>112</v>
      </c>
      <c r="BV28" s="109">
        <f>BS12</f>
        <v>0.928</v>
      </c>
      <c r="BW28" s="61"/>
      <c r="BX28" s="61" t="s">
        <v>195</v>
      </c>
      <c r="BY28" s="68">
        <f>1+(BY30*BY31*BY32/BY33*BY34)</f>
        <v>1.7379506112711414</v>
      </c>
      <c r="BZ28" s="61"/>
    </row>
    <row r="29" spans="1:78" ht="12.75">
      <c r="A29" s="58" t="s">
        <v>47</v>
      </c>
      <c r="B29" s="63">
        <v>350</v>
      </c>
      <c r="C29" s="58" t="s">
        <v>48</v>
      </c>
      <c r="D29" t="s">
        <v>84</v>
      </c>
      <c r="E29" s="63">
        <v>8</v>
      </c>
      <c r="F29" s="74" t="s">
        <v>85</v>
      </c>
      <c r="G29" t="s">
        <v>196</v>
      </c>
      <c r="H29">
        <v>1</v>
      </c>
      <c r="I29" t="s">
        <v>151</v>
      </c>
      <c r="M29" s="58" t="s">
        <v>87</v>
      </c>
      <c r="N29" s="70">
        <v>24</v>
      </c>
      <c r="O29" s="74" t="s">
        <v>129</v>
      </c>
      <c r="P29" s="74"/>
      <c r="Q29" s="74"/>
      <c r="R29" s="74"/>
      <c r="S29" s="58"/>
      <c r="T29" s="70"/>
      <c r="U29" s="74"/>
      <c r="V29" s="58"/>
      <c r="W29" s="70"/>
      <c r="X29" s="74"/>
      <c r="Y29" s="58"/>
      <c r="Z29" s="70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2" t="s">
        <v>197</v>
      </c>
      <c r="AL29" s="81">
        <v>0.507</v>
      </c>
      <c r="AM29" s="77"/>
      <c r="AN29" s="72" t="s">
        <v>197</v>
      </c>
      <c r="AO29" s="81">
        <v>0.507</v>
      </c>
      <c r="AP29" s="77"/>
      <c r="AQ29" s="72" t="s">
        <v>197</v>
      </c>
      <c r="AR29" s="81">
        <v>0.507</v>
      </c>
      <c r="AS29" s="77"/>
      <c r="AT29" t="s">
        <v>127</v>
      </c>
      <c r="AU29">
        <v>0.073</v>
      </c>
      <c r="AV29" t="s">
        <v>128</v>
      </c>
      <c r="AW29" t="s">
        <v>127</v>
      </c>
      <c r="AX29">
        <v>0.073</v>
      </c>
      <c r="AY29" t="s">
        <v>128</v>
      </c>
      <c r="AZ29" t="s">
        <v>87</v>
      </c>
      <c r="BA29">
        <v>8</v>
      </c>
      <c r="BB29" t="s">
        <v>128</v>
      </c>
      <c r="BC29" t="s">
        <v>87</v>
      </c>
      <c r="BD29">
        <v>8</v>
      </c>
      <c r="BE29" t="s">
        <v>128</v>
      </c>
      <c r="BF29" t="s">
        <v>127</v>
      </c>
      <c r="BG29">
        <v>0</v>
      </c>
      <c r="BH29" t="s">
        <v>128</v>
      </c>
      <c r="BI29" t="s">
        <v>127</v>
      </c>
      <c r="BJ29">
        <v>0</v>
      </c>
      <c r="BK29" t="s">
        <v>128</v>
      </c>
      <c r="BL29" t="s">
        <v>127</v>
      </c>
      <c r="BM29">
        <v>0.33</v>
      </c>
      <c r="BN29" t="s">
        <v>128</v>
      </c>
      <c r="BO29" t="s">
        <v>87</v>
      </c>
      <c r="BP29">
        <v>0.33</v>
      </c>
      <c r="BQ29" t="s">
        <v>129</v>
      </c>
      <c r="BR29" s="61" t="s">
        <v>130</v>
      </c>
      <c r="BS29" s="61">
        <v>8</v>
      </c>
      <c r="BT29" s="61" t="s">
        <v>131</v>
      </c>
      <c r="BU29" s="61" t="s">
        <v>130</v>
      </c>
      <c r="BV29" s="61">
        <v>8</v>
      </c>
      <c r="BW29" s="61" t="s">
        <v>131</v>
      </c>
      <c r="BX29" s="61" t="s">
        <v>198</v>
      </c>
      <c r="BY29" s="61">
        <f>BY12</f>
        <v>3</v>
      </c>
      <c r="BZ29" s="61"/>
    </row>
    <row r="30" spans="1:78" ht="12.75">
      <c r="A30" s="58" t="s">
        <v>55</v>
      </c>
      <c r="B30" s="57">
        <f>N7</f>
        <v>5.14E-10</v>
      </c>
      <c r="C30" s="58" t="s">
        <v>199</v>
      </c>
      <c r="E30" s="63">
        <v>24</v>
      </c>
      <c r="F30" s="74" t="s">
        <v>85</v>
      </c>
      <c r="G30" s="58" t="s">
        <v>184</v>
      </c>
      <c r="H30" s="57">
        <f>H5/(H24*H11*H7*H8)</f>
        <v>0.13742870885728029</v>
      </c>
      <c r="I30" s="83"/>
      <c r="J30" s="83"/>
      <c r="K30" s="83"/>
      <c r="L30" s="83"/>
      <c r="M30" s="58" t="s">
        <v>166</v>
      </c>
      <c r="N30" s="70">
        <f>1/24</f>
        <v>0.041666666666666664</v>
      </c>
      <c r="O30" s="74" t="s">
        <v>200</v>
      </c>
      <c r="P30" s="74"/>
      <c r="Q30" s="74"/>
      <c r="R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2" t="s">
        <v>201</v>
      </c>
      <c r="AL30" s="81">
        <v>0.417</v>
      </c>
      <c r="AM30" s="77"/>
      <c r="AN30" s="72" t="s">
        <v>201</v>
      </c>
      <c r="AO30" s="81">
        <v>0.417</v>
      </c>
      <c r="AP30" s="77"/>
      <c r="AQ30" s="72" t="s">
        <v>201</v>
      </c>
      <c r="AR30" s="81">
        <v>0.417</v>
      </c>
      <c r="AS30" s="77"/>
      <c r="AT30" t="s">
        <v>90</v>
      </c>
      <c r="AU30" s="70">
        <f>0.00000000000362</f>
        <v>3.62E-12</v>
      </c>
      <c r="AV30" s="74" t="s">
        <v>136</v>
      </c>
      <c r="AW30" t="s">
        <v>90</v>
      </c>
      <c r="AX30" s="70">
        <f>0.00000000571</f>
        <v>5.71E-09</v>
      </c>
      <c r="AY30" s="74" t="s">
        <v>136</v>
      </c>
      <c r="AZ30" t="s">
        <v>90</v>
      </c>
      <c r="BA30" s="70">
        <f>0.00000000000362</f>
        <v>3.62E-12</v>
      </c>
      <c r="BB30" s="74" t="s">
        <v>136</v>
      </c>
      <c r="BC30" t="s">
        <v>90</v>
      </c>
      <c r="BD30" s="70">
        <f>0.00000000571</f>
        <v>5.71E-09</v>
      </c>
      <c r="BE30" s="74" t="s">
        <v>136</v>
      </c>
      <c r="BF30" t="s">
        <v>90</v>
      </c>
      <c r="BG30" s="70">
        <f>AU30</f>
        <v>3.62E-12</v>
      </c>
      <c r="BH30" s="74" t="s">
        <v>136</v>
      </c>
      <c r="BI30" t="s">
        <v>90</v>
      </c>
      <c r="BJ30" s="70">
        <f>AX30</f>
        <v>5.71E-09</v>
      </c>
      <c r="BK30" s="74" t="s">
        <v>136</v>
      </c>
      <c r="BL30" t="s">
        <v>90</v>
      </c>
      <c r="BM30" s="70">
        <f>BG30</f>
        <v>3.62E-12</v>
      </c>
      <c r="BN30" s="74" t="s">
        <v>136</v>
      </c>
      <c r="BO30" t="s">
        <v>90</v>
      </c>
      <c r="BP30" s="70">
        <f>BJ30</f>
        <v>5.71E-09</v>
      </c>
      <c r="BQ30" s="74" t="s">
        <v>136</v>
      </c>
      <c r="BR30" s="61" t="s">
        <v>90</v>
      </c>
      <c r="BS30" s="68">
        <f>BM30</f>
        <v>3.62E-12</v>
      </c>
      <c r="BT30" s="61" t="s">
        <v>138</v>
      </c>
      <c r="BU30" s="61" t="s">
        <v>90</v>
      </c>
      <c r="BV30" s="68">
        <f>BP30</f>
        <v>5.71E-09</v>
      </c>
      <c r="BW30" s="61" t="s">
        <v>138</v>
      </c>
      <c r="BX30" s="61" t="s">
        <v>120</v>
      </c>
      <c r="BY30" s="84">
        <v>1</v>
      </c>
      <c r="BZ30" s="61" t="s">
        <v>202</v>
      </c>
    </row>
    <row r="31" spans="1:78" ht="12.75">
      <c r="A31" s="58" t="s">
        <v>50</v>
      </c>
      <c r="B31" s="65">
        <v>30</v>
      </c>
      <c r="D31" t="s">
        <v>109</v>
      </c>
      <c r="E31" s="57">
        <v>60</v>
      </c>
      <c r="F31" s="74" t="s">
        <v>83</v>
      </c>
      <c r="G31" s="58" t="s">
        <v>140</v>
      </c>
      <c r="H31" s="57">
        <f>H5/(H6*H11*H14*H54*H13*H22/24)</f>
        <v>0.0009201748332183116</v>
      </c>
      <c r="I31" s="74"/>
      <c r="J31" s="74"/>
      <c r="K31" s="74"/>
      <c r="L31" s="74"/>
      <c r="M31" s="58"/>
      <c r="N31" s="63"/>
      <c r="AK31" s="72"/>
      <c r="AL31" s="73"/>
      <c r="AM31" s="59"/>
      <c r="AN31" s="72"/>
      <c r="AO31" s="73"/>
      <c r="AP31" s="59"/>
      <c r="AQ31" s="72"/>
      <c r="AR31" s="73"/>
      <c r="AS31" s="59"/>
      <c r="AT31" t="s">
        <v>147</v>
      </c>
      <c r="AU31">
        <v>0.683</v>
      </c>
      <c r="AV31" t="s">
        <v>128</v>
      </c>
      <c r="AW31" t="s">
        <v>147</v>
      </c>
      <c r="AX31">
        <v>0.684</v>
      </c>
      <c r="AY31" t="s">
        <v>128</v>
      </c>
      <c r="BF31" s="74" t="s">
        <v>130</v>
      </c>
      <c r="BG31">
        <v>8</v>
      </c>
      <c r="BH31" s="74" t="s">
        <v>129</v>
      </c>
      <c r="BI31" s="74" t="s">
        <v>130</v>
      </c>
      <c r="BJ31">
        <v>8</v>
      </c>
      <c r="BK31" s="74" t="s">
        <v>129</v>
      </c>
      <c r="BL31" s="74" t="s">
        <v>130</v>
      </c>
      <c r="BM31">
        <v>8</v>
      </c>
      <c r="BN31" s="74" t="s">
        <v>129</v>
      </c>
      <c r="BO31" s="74" t="s">
        <v>130</v>
      </c>
      <c r="BP31">
        <v>8</v>
      </c>
      <c r="BQ31" s="74" t="s">
        <v>129</v>
      </c>
      <c r="BR31" s="74" t="s">
        <v>130</v>
      </c>
      <c r="BS31">
        <v>8</v>
      </c>
      <c r="BT31" s="74" t="s">
        <v>129</v>
      </c>
      <c r="BU31" s="74" t="s">
        <v>130</v>
      </c>
      <c r="BV31">
        <v>8</v>
      </c>
      <c r="BW31" s="74" t="s">
        <v>129</v>
      </c>
      <c r="BX31" s="61" t="s">
        <v>203</v>
      </c>
      <c r="BY31" s="84">
        <v>1</v>
      </c>
      <c r="BZ31" s="61" t="s">
        <v>204</v>
      </c>
    </row>
    <row r="32" spans="1:78" ht="12.75">
      <c r="A32" s="58" t="s">
        <v>205</v>
      </c>
      <c r="B32" s="57">
        <v>54</v>
      </c>
      <c r="C32" t="s">
        <v>89</v>
      </c>
      <c r="D32" s="64" t="s">
        <v>118</v>
      </c>
      <c r="E32" s="57">
        <f>0.000000000026</f>
        <v>2.6E-11</v>
      </c>
      <c r="F32" s="64" t="s">
        <v>119</v>
      </c>
      <c r="G32" t="s">
        <v>206</v>
      </c>
      <c r="H32" s="57">
        <f>H5/(H24*H11*H25/8760*H26*H22/24)</f>
        <v>21927650.767617967</v>
      </c>
      <c r="I32" s="65"/>
      <c r="J32" s="65"/>
      <c r="K32" s="65"/>
      <c r="L32" s="65"/>
      <c r="M32" s="58" t="s">
        <v>207</v>
      </c>
      <c r="N32" s="63">
        <v>24</v>
      </c>
      <c r="O32" s="63" t="s">
        <v>85</v>
      </c>
      <c r="P32" s="63"/>
      <c r="Q32" s="63"/>
      <c r="R32" s="63"/>
      <c r="S32" s="58"/>
      <c r="T32" s="63"/>
      <c r="U32" s="63"/>
      <c r="V32" s="58"/>
      <c r="W32" s="63"/>
      <c r="X32" s="63"/>
      <c r="Y32" s="58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72" t="s">
        <v>208</v>
      </c>
      <c r="AL32" s="73">
        <v>24</v>
      </c>
      <c r="AM32" s="73" t="s">
        <v>85</v>
      </c>
      <c r="AN32" s="72" t="s">
        <v>208</v>
      </c>
      <c r="AO32" s="73">
        <v>24</v>
      </c>
      <c r="AP32" s="73" t="s">
        <v>85</v>
      </c>
      <c r="AQ32" s="72" t="s">
        <v>208</v>
      </c>
      <c r="AR32" s="73">
        <v>24</v>
      </c>
      <c r="AS32" s="73" t="s">
        <v>85</v>
      </c>
      <c r="BX32" s="61" t="s">
        <v>209</v>
      </c>
      <c r="BY32" s="84">
        <f>((0.0112*BY34*BY34)^0.5)+BY35*(1-EXP((-BY34*BY33)/(BY30*BY31*BY35)))</f>
        <v>0.7379506112711413</v>
      </c>
      <c r="BZ32" s="61" t="s">
        <v>210</v>
      </c>
    </row>
    <row r="33" spans="1:78" ht="12.75">
      <c r="A33" s="58" t="s">
        <v>184</v>
      </c>
      <c r="B33" s="57">
        <f>B28/(B30*B29*B31*B32)</f>
        <v>0.0034312615376169203</v>
      </c>
      <c r="C33" s="74"/>
      <c r="D33" s="64" t="s">
        <v>113</v>
      </c>
      <c r="E33" s="64">
        <v>1</v>
      </c>
      <c r="G33" t="s">
        <v>211</v>
      </c>
      <c r="H33" s="57">
        <f>(H5/(H11*H24/365*H35*(N46+N47)*1000*N45))/((H36+H37+H38)/1000)</f>
        <v>0.7089671609328153</v>
      </c>
      <c r="I33" s="65"/>
      <c r="J33" s="65"/>
      <c r="K33" s="65"/>
      <c r="L33" s="65"/>
      <c r="N33" s="63">
        <v>24</v>
      </c>
      <c r="O33" t="s">
        <v>85</v>
      </c>
      <c r="T33" s="63"/>
      <c r="W33" s="63"/>
      <c r="Z33" s="63"/>
      <c r="AK33" s="59"/>
      <c r="AL33" s="73">
        <f>1/24</f>
        <v>0.041666666666666664</v>
      </c>
      <c r="AM33" s="59" t="s">
        <v>212</v>
      </c>
      <c r="AN33" s="59"/>
      <c r="AO33" s="73">
        <f>1/24</f>
        <v>0.041666666666666664</v>
      </c>
      <c r="AP33" s="59" t="s">
        <v>212</v>
      </c>
      <c r="AQ33" s="59"/>
      <c r="AR33" s="73">
        <f>1/24</f>
        <v>0.041666666666666664</v>
      </c>
      <c r="AS33" s="59" t="s">
        <v>212</v>
      </c>
      <c r="AT33" s="17" t="s">
        <v>10</v>
      </c>
      <c r="AU33" s="17" t="s">
        <v>213</v>
      </c>
      <c r="AV33" s="17" t="s">
        <v>338</v>
      </c>
      <c r="AZ33" s="5" t="s">
        <v>10</v>
      </c>
      <c r="BA33" s="5" t="s">
        <v>214</v>
      </c>
      <c r="BB33" s="5" t="s">
        <v>338</v>
      </c>
      <c r="BF33" s="18" t="s">
        <v>10</v>
      </c>
      <c r="BG33" s="18" t="s">
        <v>213</v>
      </c>
      <c r="BH33" s="18" t="s">
        <v>338</v>
      </c>
      <c r="BL33" s="19" t="s">
        <v>10</v>
      </c>
      <c r="BM33" s="19" t="s">
        <v>213</v>
      </c>
      <c r="BN33" s="19" t="s">
        <v>338</v>
      </c>
      <c r="BR33" s="20" t="s">
        <v>10</v>
      </c>
      <c r="BS33" s="20" t="s">
        <v>213</v>
      </c>
      <c r="BT33" s="20" t="s">
        <v>338</v>
      </c>
      <c r="BX33" s="61" t="s">
        <v>215</v>
      </c>
      <c r="BY33" s="84">
        <v>1</v>
      </c>
      <c r="BZ33" s="61" t="s">
        <v>202</v>
      </c>
    </row>
    <row r="34" spans="3:78" ht="12.75">
      <c r="C34" s="74"/>
      <c r="D34" t="s">
        <v>140</v>
      </c>
      <c r="E34" s="57">
        <f>(E24)/((E29/E30)*E26*E27*E28*E31)</f>
        <v>0.0006956521739130436</v>
      </c>
      <c r="F34" t="s">
        <v>33</v>
      </c>
      <c r="G34" s="58"/>
      <c r="H34" s="57"/>
      <c r="I34" s="58"/>
      <c r="J34" s="58"/>
      <c r="K34" s="58"/>
      <c r="L34" s="58"/>
      <c r="M34" s="63" t="s">
        <v>216</v>
      </c>
      <c r="N34" s="63">
        <v>30</v>
      </c>
      <c r="O34" s="63" t="s">
        <v>78</v>
      </c>
      <c r="P34" t="s">
        <v>217</v>
      </c>
      <c r="Q34">
        <v>30</v>
      </c>
      <c r="R34" s="63"/>
      <c r="AK34" s="73" t="s">
        <v>218</v>
      </c>
      <c r="AL34" s="73">
        <v>40</v>
      </c>
      <c r="AM34" s="73" t="s">
        <v>78</v>
      </c>
      <c r="AN34" s="73" t="s">
        <v>218</v>
      </c>
      <c r="AO34" s="73">
        <v>40</v>
      </c>
      <c r="AP34" s="73" t="s">
        <v>78</v>
      </c>
      <c r="AQ34" s="73" t="s">
        <v>218</v>
      </c>
      <c r="AR34" s="73">
        <v>40</v>
      </c>
      <c r="AS34" s="73" t="s">
        <v>78</v>
      </c>
      <c r="AT34" s="25"/>
      <c r="AU34" s="17" t="s">
        <v>29</v>
      </c>
      <c r="AV34" s="26" t="s">
        <v>22</v>
      </c>
      <c r="AZ34" s="27"/>
      <c r="BA34" s="5" t="s">
        <v>8</v>
      </c>
      <c r="BB34" s="27" t="s">
        <v>22</v>
      </c>
      <c r="BF34" s="18" t="s">
        <v>5</v>
      </c>
      <c r="BG34" s="18" t="s">
        <v>30</v>
      </c>
      <c r="BH34" s="28" t="s">
        <v>22</v>
      </c>
      <c r="BL34" s="19" t="s">
        <v>3</v>
      </c>
      <c r="BM34" s="19" t="s">
        <v>30</v>
      </c>
      <c r="BN34" s="29" t="s">
        <v>22</v>
      </c>
      <c r="BR34" s="20" t="s">
        <v>31</v>
      </c>
      <c r="BS34" s="20" t="s">
        <v>30</v>
      </c>
      <c r="BT34" s="30" t="s">
        <v>22</v>
      </c>
      <c r="BX34" s="61" t="s">
        <v>219</v>
      </c>
      <c r="BY34" s="84">
        <v>1</v>
      </c>
      <c r="BZ34" s="61" t="s">
        <v>210</v>
      </c>
    </row>
    <row r="35" spans="1:78" ht="12.75">
      <c r="A35" s="5" t="s">
        <v>0</v>
      </c>
      <c r="B35" s="5"/>
      <c r="C35" s="5" t="s">
        <v>338</v>
      </c>
      <c r="D35" t="s">
        <v>149</v>
      </c>
      <c r="E35" s="57">
        <f>(E24)/((E29/E30)*E26*E27*E32*(1/365))</f>
        <v>6738.461538461539</v>
      </c>
      <c r="F35" t="s">
        <v>33</v>
      </c>
      <c r="G35" s="58" t="s">
        <v>58</v>
      </c>
      <c r="H35" s="57">
        <f>0.000000000514</f>
        <v>5.14E-10</v>
      </c>
      <c r="I35" s="74"/>
      <c r="J35" s="74"/>
      <c r="K35" s="74"/>
      <c r="L35" s="74"/>
      <c r="M35" s="63" t="s">
        <v>46</v>
      </c>
      <c r="N35" s="70">
        <f>0.000433</f>
        <v>0.000433</v>
      </c>
      <c r="P35" s="63" t="s">
        <v>46</v>
      </c>
      <c r="Q35" s="70">
        <f>N35</f>
        <v>0.000433</v>
      </c>
      <c r="AK35" s="73" t="s">
        <v>46</v>
      </c>
      <c r="AL35" s="81">
        <f>B6</f>
        <v>0.000433</v>
      </c>
      <c r="AM35" s="59"/>
      <c r="AN35" s="73" t="s">
        <v>46</v>
      </c>
      <c r="AO35" s="81">
        <f>AL35</f>
        <v>0.000433</v>
      </c>
      <c r="AP35" s="59"/>
      <c r="AQ35" s="73" t="s">
        <v>46</v>
      </c>
      <c r="AR35" s="81">
        <f>AL35</f>
        <v>0.000433</v>
      </c>
      <c r="AS35" s="59"/>
      <c r="AT35" s="17" t="s">
        <v>36</v>
      </c>
      <c r="AU35" s="25">
        <f>(AU37*AU38*AU39)/((1-EXP(-AU39*AU38))*AU41*AU46*(AU40/365)*AU44*((AU45)+(AU47*AU42)))</f>
        <v>6.892696053600223</v>
      </c>
      <c r="AV35" s="26" t="s">
        <v>34</v>
      </c>
      <c r="AZ35" s="5" t="s">
        <v>36</v>
      </c>
      <c r="BA35" s="39">
        <f>(BA37*BA38*BA39)/(BA41*(1-EXP(-BA39*BA38))*BA46*(BA40/365)*BA44*BA45/24*BA43)</f>
        <v>31.634875354941954</v>
      </c>
      <c r="BB35" s="27" t="s">
        <v>34</v>
      </c>
      <c r="BF35" s="18" t="s">
        <v>36</v>
      </c>
      <c r="BG35" s="51">
        <f>(BG37*BG38*BG39)/((1-EXP(-BG39*BG38))*BG41*BG46*(BG40/365)*BG44*(BG47/24)*BG42)</f>
        <v>30.034302166388887</v>
      </c>
      <c r="BH35" s="28" t="s">
        <v>34</v>
      </c>
      <c r="BL35" s="19" t="s">
        <v>36</v>
      </c>
      <c r="BM35" s="52">
        <f>(BM37*BM38*BM39)/((1-EXP(-BM39*BM38))*BM41*BM46*(BM40/365)*BM44*(BM47/24)*BM43)</f>
        <v>13.348578740617283</v>
      </c>
      <c r="BN35" s="29" t="s">
        <v>34</v>
      </c>
      <c r="BR35" s="20"/>
      <c r="BS35" s="53">
        <f>(BS37*BS38*BS39)/((1-EXP(-BS39*BS38))*BS41*BS46*(BS40/365)*BS44*(BS47/24)*BS43)</f>
        <v>12.013720866555555</v>
      </c>
      <c r="BT35" s="30" t="s">
        <v>34</v>
      </c>
      <c r="BX35" s="61" t="s">
        <v>220</v>
      </c>
      <c r="BY35" s="84">
        <v>1</v>
      </c>
      <c r="BZ35" s="61" t="s">
        <v>210</v>
      </c>
    </row>
    <row r="36" spans="1:78" ht="12.75">
      <c r="A36" s="5" t="s">
        <v>182</v>
      </c>
      <c r="B36" s="5" t="s">
        <v>14</v>
      </c>
      <c r="C36" s="5" t="s">
        <v>19</v>
      </c>
      <c r="D36" t="s">
        <v>140</v>
      </c>
      <c r="E36" s="57">
        <f>(E24*E25*E27)/((E29/E30)*(1-EXP(-E25*E27))*E28*E31*E26*E27)</f>
        <v>0.0006994241843707932</v>
      </c>
      <c r="F36" t="s">
        <v>35</v>
      </c>
      <c r="G36" t="s">
        <v>221</v>
      </c>
      <c r="H36" s="57">
        <f>(H39*H40*H41*(1-EXP(-H47*H42)))/(H49*H47)</f>
        <v>1.4298564304940413</v>
      </c>
      <c r="N36" s="63">
        <v>365</v>
      </c>
      <c r="O36" t="s">
        <v>176</v>
      </c>
      <c r="Q36" s="63">
        <v>365</v>
      </c>
      <c r="R36" t="s">
        <v>176</v>
      </c>
      <c r="AK36" s="59"/>
      <c r="AL36" s="73">
        <v>365</v>
      </c>
      <c r="AM36" s="59" t="s">
        <v>176</v>
      </c>
      <c r="AN36" s="59"/>
      <c r="AO36" s="73">
        <v>365</v>
      </c>
      <c r="AP36" s="59" t="s">
        <v>176</v>
      </c>
      <c r="AQ36" s="59"/>
      <c r="AR36" s="73">
        <v>365</v>
      </c>
      <c r="AS36" s="59" t="s">
        <v>176</v>
      </c>
      <c r="AT36" s="17" t="s">
        <v>41</v>
      </c>
      <c r="AU36" s="25"/>
      <c r="AV36" s="26"/>
      <c r="AZ36" s="5" t="s">
        <v>41</v>
      </c>
      <c r="BA36" s="27"/>
      <c r="BB36" s="27"/>
      <c r="BF36" s="18" t="s">
        <v>41</v>
      </c>
      <c r="BG36" s="51"/>
      <c r="BH36" s="28"/>
      <c r="BL36" s="19" t="s">
        <v>41</v>
      </c>
      <c r="BM36" s="52"/>
      <c r="BN36" s="29"/>
      <c r="BO36" s="64"/>
      <c r="BP36" s="64"/>
      <c r="BQ36" s="64"/>
      <c r="BR36" s="20" t="s">
        <v>41</v>
      </c>
      <c r="BS36" s="56"/>
      <c r="BT36" s="30"/>
      <c r="BU36" s="62"/>
      <c r="BV36" s="62"/>
      <c r="BW36" s="62"/>
      <c r="BX36" s="61" t="s">
        <v>222</v>
      </c>
      <c r="BY36" s="84">
        <v>1</v>
      </c>
      <c r="BZ36" s="61" t="s">
        <v>210</v>
      </c>
    </row>
    <row r="37" spans="1:75" ht="12.75">
      <c r="A37" s="5" t="s">
        <v>223</v>
      </c>
      <c r="B37" s="39">
        <f>B47</f>
        <v>0.11437538458723066</v>
      </c>
      <c r="C37" s="27"/>
      <c r="D37" t="s">
        <v>149</v>
      </c>
      <c r="E37" s="57">
        <f>(E24*E25*E27)/((E29/E30)*(1-EXP(-E25*E27))*E32*E26*E27*(1/365))</f>
        <v>6774.999262837855</v>
      </c>
      <c r="F37" t="s">
        <v>35</v>
      </c>
      <c r="G37" t="s">
        <v>224</v>
      </c>
      <c r="H37" s="65">
        <f>(H39*H40*H50*(1-EXP(-H47*H42)))/(H49*H47)</f>
        <v>9.294066798211269</v>
      </c>
      <c r="M37" s="74" t="s">
        <v>35</v>
      </c>
      <c r="N37" s="65">
        <f>(N34*N35)/(1-EXP(-N35*N34))</f>
        <v>1.0065090616354548</v>
      </c>
      <c r="P37" s="74" t="s">
        <v>35</v>
      </c>
      <c r="Q37" s="57">
        <f>1-EXP(-Q35*Q34)</f>
        <v>0.012905994089007833</v>
      </c>
      <c r="AK37" s="77" t="s">
        <v>35</v>
      </c>
      <c r="AL37" s="59">
        <f>(AL34*AL35)/(1-EXP(-AL35*AL34))</f>
        <v>1.0086849984083481</v>
      </c>
      <c r="AM37" s="59"/>
      <c r="AN37" s="77" t="s">
        <v>35</v>
      </c>
      <c r="AO37" s="59">
        <f>(AO34*AO35)/(1-EXP(-AO35*AO34))</f>
        <v>1.0086849984083481</v>
      </c>
      <c r="AP37" s="59"/>
      <c r="AQ37" s="77" t="s">
        <v>35</v>
      </c>
      <c r="AR37" s="59">
        <f>(AR34*AR35)/(1-EXP(-AR35*AR34))</f>
        <v>1.0086849984083481</v>
      </c>
      <c r="AS37" s="59"/>
      <c r="AT37" t="s">
        <v>43</v>
      </c>
      <c r="AU37" s="57">
        <v>1E-06</v>
      </c>
      <c r="AZ37" t="s">
        <v>43</v>
      </c>
      <c r="BA37" s="57">
        <v>1E-06</v>
      </c>
      <c r="BF37" t="s">
        <v>43</v>
      </c>
      <c r="BG37" s="57">
        <v>1E-06</v>
      </c>
      <c r="BL37" t="s">
        <v>43</v>
      </c>
      <c r="BM37" s="57">
        <v>1E-06</v>
      </c>
      <c r="BR37" t="s">
        <v>43</v>
      </c>
      <c r="BS37" s="57">
        <v>1E-06</v>
      </c>
      <c r="BU37" s="61"/>
      <c r="BV37" s="61"/>
      <c r="BW37" s="61"/>
    </row>
    <row r="38" spans="1:72" ht="12.75">
      <c r="A38" s="5" t="s">
        <v>225</v>
      </c>
      <c r="B38" s="39" t="s">
        <v>29</v>
      </c>
      <c r="C38" s="27"/>
      <c r="G38" s="58" t="s">
        <v>226</v>
      </c>
      <c r="H38" s="57">
        <f>(H39*H40*H51*H52*(1-EXP(-H48*H43)))/(H45*H48)</f>
        <v>3.642420320634722</v>
      </c>
      <c r="I38" s="74"/>
      <c r="J38" s="74"/>
      <c r="K38" s="74"/>
      <c r="L38" s="74"/>
      <c r="N38">
        <v>1000</v>
      </c>
      <c r="O38" t="s">
        <v>178</v>
      </c>
      <c r="AK38" s="59"/>
      <c r="AL38" s="59">
        <v>1000</v>
      </c>
      <c r="AM38" s="59" t="s">
        <v>178</v>
      </c>
      <c r="AN38" s="59"/>
      <c r="AO38" s="59">
        <v>1000</v>
      </c>
      <c r="AP38" s="59" t="s">
        <v>178</v>
      </c>
      <c r="AQ38" s="59"/>
      <c r="AR38" s="59"/>
      <c r="AS38" s="59"/>
      <c r="AT38" t="s">
        <v>52</v>
      </c>
      <c r="AU38">
        <v>30</v>
      </c>
      <c r="AV38" t="s">
        <v>53</v>
      </c>
      <c r="AZ38" t="s">
        <v>52</v>
      </c>
      <c r="BA38">
        <v>30</v>
      </c>
      <c r="BB38" t="s">
        <v>53</v>
      </c>
      <c r="BF38" t="s">
        <v>52</v>
      </c>
      <c r="BG38">
        <v>25</v>
      </c>
      <c r="BH38" t="s">
        <v>53</v>
      </c>
      <c r="BL38" t="s">
        <v>52</v>
      </c>
      <c r="BM38">
        <v>25</v>
      </c>
      <c r="BN38" t="s">
        <v>53</v>
      </c>
      <c r="BR38" t="s">
        <v>52</v>
      </c>
      <c r="BS38">
        <v>25</v>
      </c>
      <c r="BT38" t="s">
        <v>53</v>
      </c>
    </row>
    <row r="39" spans="1:75" ht="12.75">
      <c r="A39" s="58" t="s">
        <v>43</v>
      </c>
      <c r="B39" s="57">
        <v>1E-06</v>
      </c>
      <c r="D39" s="85" t="s">
        <v>2</v>
      </c>
      <c r="E39" s="85" t="s">
        <v>31</v>
      </c>
      <c r="F39" s="85" t="s">
        <v>338</v>
      </c>
      <c r="G39" s="58" t="s">
        <v>227</v>
      </c>
      <c r="H39">
        <v>3.62</v>
      </c>
      <c r="I39" s="74"/>
      <c r="J39" s="74"/>
      <c r="K39" s="74"/>
      <c r="L39" s="74"/>
      <c r="AK39" s="59"/>
      <c r="AL39" s="59"/>
      <c r="AM39" s="59"/>
      <c r="AN39" s="59"/>
      <c r="AO39" s="59"/>
      <c r="AP39" s="59"/>
      <c r="AQ39" s="59"/>
      <c r="AR39" s="59"/>
      <c r="AS39" s="59"/>
      <c r="AT39" t="s">
        <v>46</v>
      </c>
      <c r="AU39" s="70">
        <f>AU7</f>
        <v>0.000433</v>
      </c>
      <c r="AZ39" t="s">
        <v>46</v>
      </c>
      <c r="BA39" s="70">
        <f>BA7</f>
        <v>0.000433</v>
      </c>
      <c r="BF39" t="s">
        <v>46</v>
      </c>
      <c r="BG39" s="70">
        <f>AU39</f>
        <v>0.000433</v>
      </c>
      <c r="BL39" t="s">
        <v>46</v>
      </c>
      <c r="BM39" s="70">
        <f>BG39</f>
        <v>0.000433</v>
      </c>
      <c r="BR39" s="61" t="s">
        <v>46</v>
      </c>
      <c r="BS39" s="68">
        <f>BS7</f>
        <v>0.000433</v>
      </c>
      <c r="BT39" s="61"/>
      <c r="BU39" s="61"/>
      <c r="BV39" s="61"/>
      <c r="BW39" s="61"/>
    </row>
    <row r="40" spans="1:75" ht="12.75">
      <c r="A40" s="58" t="s">
        <v>47</v>
      </c>
      <c r="B40" s="63">
        <v>350</v>
      </c>
      <c r="C40" s="58" t="s">
        <v>48</v>
      </c>
      <c r="D40" s="85" t="s">
        <v>16</v>
      </c>
      <c r="E40" s="85" t="s">
        <v>339</v>
      </c>
      <c r="F40" s="85" t="s">
        <v>17</v>
      </c>
      <c r="G40" s="58" t="s">
        <v>228</v>
      </c>
      <c r="H40">
        <v>0.25</v>
      </c>
      <c r="I40" s="74"/>
      <c r="J40" s="74"/>
      <c r="K40" s="74"/>
      <c r="L40" s="74"/>
      <c r="M40" s="58" t="s">
        <v>184</v>
      </c>
      <c r="N40" s="57">
        <f>(N5/(N9*N10*N8*N11*(1/N6)))*N37</f>
        <v>1.095770528921391</v>
      </c>
      <c r="O40" s="74" t="s">
        <v>34</v>
      </c>
      <c r="P40" s="58" t="s">
        <v>184</v>
      </c>
      <c r="Q40" s="70">
        <f>(Q5*Q34*Q35)/(Q37*Q9*Q17*Q8*Q15/1000)</f>
        <v>1.3149246347056696</v>
      </c>
      <c r="R40" s="74" t="s">
        <v>34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72" t="s">
        <v>184</v>
      </c>
      <c r="AL40" s="103">
        <f>(AL5/(AL9*AL10*AL6*AL8*AL11))*AL37</f>
        <v>0.8594134723890873</v>
      </c>
      <c r="AM40" s="72" t="s">
        <v>34</v>
      </c>
      <c r="AN40" s="72"/>
      <c r="AO40" s="72"/>
      <c r="AP40" s="72"/>
      <c r="AQ40" s="72"/>
      <c r="AR40" s="72"/>
      <c r="AS40" s="72"/>
      <c r="AT40" t="s">
        <v>47</v>
      </c>
      <c r="AU40">
        <v>350</v>
      </c>
      <c r="AV40" t="s">
        <v>54</v>
      </c>
      <c r="AZ40" t="s">
        <v>47</v>
      </c>
      <c r="BA40">
        <v>350</v>
      </c>
      <c r="BB40" t="s">
        <v>54</v>
      </c>
      <c r="BF40" t="s">
        <v>47</v>
      </c>
      <c r="BG40">
        <v>250</v>
      </c>
      <c r="BH40" t="s">
        <v>54</v>
      </c>
      <c r="BL40" t="s">
        <v>47</v>
      </c>
      <c r="BM40">
        <v>225</v>
      </c>
      <c r="BN40" t="s">
        <v>54</v>
      </c>
      <c r="BR40" s="61" t="s">
        <v>47</v>
      </c>
      <c r="BS40" s="61">
        <v>250</v>
      </c>
      <c r="BT40" s="61" t="s">
        <v>54</v>
      </c>
      <c r="BU40" s="61"/>
      <c r="BV40" s="61"/>
      <c r="BW40" s="61"/>
    </row>
    <row r="41" spans="1:78" ht="12.75">
      <c r="A41" s="58" t="s">
        <v>55</v>
      </c>
      <c r="B41" s="57">
        <f>B30</f>
        <v>5.14E-10</v>
      </c>
      <c r="C41" s="58" t="s">
        <v>199</v>
      </c>
      <c r="D41" s="85" t="s">
        <v>35</v>
      </c>
      <c r="E41" s="33">
        <f>1/((1/E55)+(1/E56))</f>
        <v>0.0006994241121650083</v>
      </c>
      <c r="F41" s="86" t="s">
        <v>34</v>
      </c>
      <c r="G41" s="58" t="s">
        <v>229</v>
      </c>
      <c r="H41" s="57">
        <f>0.04</f>
        <v>0.04</v>
      </c>
      <c r="I41" s="74"/>
      <c r="J41" s="74"/>
      <c r="K41" s="74"/>
      <c r="L41" s="74"/>
      <c r="M41" s="58" t="s">
        <v>140</v>
      </c>
      <c r="N41" s="57">
        <f>(N5/(N25*N18*N8*N11*(1/N24)*N29*N30*N38))*N37</f>
        <v>629.7917293877242</v>
      </c>
      <c r="O41" s="74" t="s">
        <v>340</v>
      </c>
      <c r="P41" s="58" t="s">
        <v>140</v>
      </c>
      <c r="Q41" s="70">
        <f>(Q5*Q34*Q35)/(Q37*Q11*Q18*Q8*Q15*(1/Q24)*Q13/24*1000)</f>
        <v>1700.4376693468553</v>
      </c>
      <c r="R41" s="74" t="s">
        <v>34</v>
      </c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 t="s">
        <v>140</v>
      </c>
      <c r="AL41" s="103">
        <f>(AL5/(AL25*AL18*AL8*AL11*(1/AL24)*AL32*AL33*AL38))*AL37</f>
        <v>460.57129354888485</v>
      </c>
      <c r="AM41" s="72" t="s">
        <v>34</v>
      </c>
      <c r="AN41" s="72"/>
      <c r="AO41" s="72"/>
      <c r="AP41" s="72"/>
      <c r="AQ41" s="72"/>
      <c r="AR41" s="72"/>
      <c r="AS41" s="72"/>
      <c r="AT41" t="s">
        <v>50</v>
      </c>
      <c r="AU41">
        <v>30</v>
      </c>
      <c r="AV41" t="s">
        <v>53</v>
      </c>
      <c r="AZ41" t="s">
        <v>50</v>
      </c>
      <c r="BA41">
        <v>30</v>
      </c>
      <c r="BB41" t="s">
        <v>53</v>
      </c>
      <c r="BF41" t="s">
        <v>50</v>
      </c>
      <c r="BG41">
        <v>25</v>
      </c>
      <c r="BH41" t="s">
        <v>53</v>
      </c>
      <c r="BL41" t="s">
        <v>50</v>
      </c>
      <c r="BM41">
        <v>25</v>
      </c>
      <c r="BN41" t="s">
        <v>53</v>
      </c>
      <c r="BR41" t="s">
        <v>50</v>
      </c>
      <c r="BS41">
        <v>25</v>
      </c>
      <c r="BT41" t="s">
        <v>53</v>
      </c>
      <c r="BU41" s="61"/>
      <c r="BV41" s="61"/>
      <c r="BW41" s="61"/>
      <c r="BX41" s="61"/>
      <c r="BY41" s="61"/>
      <c r="BZ41" s="61"/>
    </row>
    <row r="42" spans="1:78" ht="12.75">
      <c r="A42" s="58" t="s">
        <v>50</v>
      </c>
      <c r="B42" s="65">
        <v>30</v>
      </c>
      <c r="D42" s="85" t="s">
        <v>33</v>
      </c>
      <c r="E42" s="33">
        <f>1/((1/E53)+(1/E54))</f>
        <v>0.0006956521020966661</v>
      </c>
      <c r="F42" s="86" t="s">
        <v>34</v>
      </c>
      <c r="G42" s="58" t="s">
        <v>230</v>
      </c>
      <c r="H42">
        <v>10950</v>
      </c>
      <c r="I42" s="74"/>
      <c r="J42" s="74"/>
      <c r="K42" s="74"/>
      <c r="L42" s="74"/>
      <c r="M42" s="58" t="s">
        <v>192</v>
      </c>
      <c r="N42" s="57">
        <f>(N5/(N23*N22*(N26+N27*N21)*N8*(1/N36)*N11))*N37</f>
        <v>4.750170931261271</v>
      </c>
      <c r="O42" s="74" t="s">
        <v>34</v>
      </c>
      <c r="P42" s="58" t="s">
        <v>192</v>
      </c>
      <c r="Q42" s="70">
        <f>(Q5*Q34*Q35)/(Q37*Q10*Q12*Q13/24*Q14*Q8/365*Q15)</f>
        <v>21.826682559304924</v>
      </c>
      <c r="R42" s="74" t="s">
        <v>34</v>
      </c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72" t="s">
        <v>192</v>
      </c>
      <c r="AL42" s="103">
        <f>(AL5/(AL23*AL22*(AL29+AL30*AL21)*AL8*(1/AL36)*AL11))*AL37</f>
        <v>1.8365634009303748</v>
      </c>
      <c r="AM42" s="72" t="s">
        <v>34</v>
      </c>
      <c r="AN42" s="72"/>
      <c r="AO42" s="72"/>
      <c r="AP42" s="72"/>
      <c r="AQ42" s="72"/>
      <c r="AR42" s="72"/>
      <c r="AS42" s="72"/>
      <c r="AT42" t="s">
        <v>98</v>
      </c>
      <c r="AU42">
        <v>0.4</v>
      </c>
      <c r="AZ42" t="s">
        <v>98</v>
      </c>
      <c r="BA42">
        <v>0.4</v>
      </c>
      <c r="BF42" t="s">
        <v>98</v>
      </c>
      <c r="BG42">
        <v>0.4</v>
      </c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ht="12.75">
      <c r="A43" s="58" t="s">
        <v>205</v>
      </c>
      <c r="B43" s="57">
        <v>54</v>
      </c>
      <c r="C43" t="s">
        <v>89</v>
      </c>
      <c r="D43" t="s">
        <v>43</v>
      </c>
      <c r="E43" s="57">
        <v>1E-06</v>
      </c>
      <c r="F43" s="87"/>
      <c r="G43" s="58" t="s">
        <v>231</v>
      </c>
      <c r="H43">
        <v>60</v>
      </c>
      <c r="M43" s="88" t="s">
        <v>232</v>
      </c>
      <c r="N43" s="89">
        <f>(N5/(N11*N8/365*N7*(N46+N47)*1000*N45))/(N52+N54)</f>
        <v>0.03395088599720356</v>
      </c>
      <c r="O43" s="90" t="s">
        <v>34</v>
      </c>
      <c r="P43" s="90"/>
      <c r="Q43" s="90"/>
      <c r="R43" s="90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72" t="s">
        <v>232</v>
      </c>
      <c r="AL43" s="103">
        <f>AO43/(AL26+AL101)</f>
        <v>0.006115949078172319</v>
      </c>
      <c r="AM43" s="72" t="s">
        <v>34</v>
      </c>
      <c r="AN43" s="72" t="s">
        <v>232</v>
      </c>
      <c r="AO43" s="103">
        <f>AO5/(AO11*AO8/365*AO7*(AO55+AO56)*1000*AO54)</f>
        <v>0.0018347847234516956</v>
      </c>
      <c r="AP43" s="72" t="s">
        <v>34</v>
      </c>
      <c r="AQ43" s="72" t="s">
        <v>232</v>
      </c>
      <c r="AR43" s="101">
        <f>AO43/((1/1000)*(AR51+AR52+AR53))</f>
        <v>0.1277141060389011</v>
      </c>
      <c r="AS43" s="72" t="s">
        <v>34</v>
      </c>
      <c r="AT43" t="s">
        <v>106</v>
      </c>
      <c r="AU43">
        <v>1</v>
      </c>
      <c r="AZ43" t="s">
        <v>106</v>
      </c>
      <c r="BA43">
        <v>1</v>
      </c>
      <c r="BF43" t="s">
        <v>106</v>
      </c>
      <c r="BG43">
        <v>1</v>
      </c>
      <c r="BL43" t="s">
        <v>98</v>
      </c>
      <c r="BM43">
        <v>1</v>
      </c>
      <c r="BR43" s="61" t="s">
        <v>106</v>
      </c>
      <c r="BS43" s="61">
        <v>1</v>
      </c>
      <c r="BT43" s="61"/>
      <c r="BU43" s="61"/>
      <c r="BV43" s="61"/>
      <c r="BW43" s="61"/>
      <c r="BX43" s="61"/>
      <c r="BY43" s="61"/>
      <c r="BZ43" s="61"/>
    </row>
    <row r="44" spans="1:78" ht="12.75">
      <c r="A44" s="58"/>
      <c r="B44" s="63">
        <v>1000</v>
      </c>
      <c r="C44" s="74" t="s">
        <v>178</v>
      </c>
      <c r="D44" s="92" t="s">
        <v>46</v>
      </c>
      <c r="E44" s="93">
        <f>E6</f>
        <v>0.000433</v>
      </c>
      <c r="F44" s="87"/>
      <c r="G44" s="64" t="s">
        <v>233</v>
      </c>
      <c r="H44">
        <v>14</v>
      </c>
      <c r="M44" s="94"/>
      <c r="N44" s="94"/>
      <c r="O44" s="94"/>
      <c r="P44" s="94"/>
      <c r="Q44" s="94"/>
      <c r="R44" s="94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72" t="s">
        <v>234</v>
      </c>
      <c r="AL44" s="103">
        <f>AO44*1000</f>
        <v>1.2715623885641045</v>
      </c>
      <c r="AM44" s="77" t="s">
        <v>34</v>
      </c>
      <c r="AN44" s="72" t="s">
        <v>234</v>
      </c>
      <c r="AO44" s="103">
        <f>AO5/(AO11*AO8/365*AO7*AO68*1000)</f>
        <v>0.0012715623885641045</v>
      </c>
      <c r="AP44" s="77" t="s">
        <v>34</v>
      </c>
      <c r="AQ44" s="72" t="s">
        <v>234</v>
      </c>
      <c r="AR44" s="81">
        <f>AO44/(AR69*(1/1000))</f>
        <v>0.0006357811942820522</v>
      </c>
      <c r="AS44" s="77"/>
      <c r="AT44" t="s">
        <v>112</v>
      </c>
      <c r="AU44" s="100">
        <f>AU12</f>
        <v>0.928</v>
      </c>
      <c r="AZ44" t="s">
        <v>112</v>
      </c>
      <c r="BA44" s="100">
        <f>BA12</f>
        <v>0.21000000000000002</v>
      </c>
      <c r="BF44" t="s">
        <v>112</v>
      </c>
      <c r="BG44" s="100">
        <f>AU44</f>
        <v>0.928</v>
      </c>
      <c r="BL44" t="s">
        <v>112</v>
      </c>
      <c r="BM44" s="100">
        <f>BG44</f>
        <v>0.928</v>
      </c>
      <c r="BR44" s="61" t="s">
        <v>112</v>
      </c>
      <c r="BS44" s="109">
        <f>BS12</f>
        <v>0.928</v>
      </c>
      <c r="BT44" s="61"/>
      <c r="BU44" s="61"/>
      <c r="BV44" s="61"/>
      <c r="BW44" s="61"/>
      <c r="BX44" s="61"/>
      <c r="BY44" s="61"/>
      <c r="BZ44" s="61"/>
    </row>
    <row r="45" spans="1:78" ht="12.75">
      <c r="A45" s="58" t="s">
        <v>235</v>
      </c>
      <c r="B45" s="70">
        <v>30</v>
      </c>
      <c r="C45" s="74" t="s">
        <v>236</v>
      </c>
      <c r="D45" s="95" t="s">
        <v>237</v>
      </c>
      <c r="E45" s="87">
        <v>250</v>
      </c>
      <c r="F45" s="87" t="s">
        <v>54</v>
      </c>
      <c r="G45" s="64" t="s">
        <v>238</v>
      </c>
      <c r="H45">
        <v>2</v>
      </c>
      <c r="M45" s="94" t="s">
        <v>239</v>
      </c>
      <c r="N45" s="94">
        <v>0.25</v>
      </c>
      <c r="O45" s="94"/>
      <c r="P45" s="94"/>
      <c r="Q45" s="94"/>
      <c r="R45" s="94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72" t="s">
        <v>240</v>
      </c>
      <c r="AL45" s="103">
        <f>AO45/(AL70*((AL93*AL104*AL105*(AL27+AL102))+(AL94*AL104)))</f>
        <v>0.20564453778037775</v>
      </c>
      <c r="AM45" s="81" t="s">
        <v>34</v>
      </c>
      <c r="AN45" s="72" t="s">
        <v>240</v>
      </c>
      <c r="AO45" s="103">
        <f>AO5/(AO11*AO8/365*AO7*AO77*1000)</f>
        <v>0.001169397664088118</v>
      </c>
      <c r="AP45" s="81" t="s">
        <v>34</v>
      </c>
      <c r="AQ45" s="72" t="s">
        <v>240</v>
      </c>
      <c r="AR45" s="103">
        <f>AO45/(AR70*AR78/1000)</f>
        <v>22.064106869587132</v>
      </c>
      <c r="AS45" s="81" t="s">
        <v>34</v>
      </c>
      <c r="AT45" t="s">
        <v>127</v>
      </c>
      <c r="AU45">
        <v>0.073</v>
      </c>
      <c r="AV45" t="s">
        <v>128</v>
      </c>
      <c r="AZ45" t="s">
        <v>87</v>
      </c>
      <c r="BA45">
        <v>8</v>
      </c>
      <c r="BB45" t="s">
        <v>128</v>
      </c>
      <c r="BF45" t="s">
        <v>127</v>
      </c>
      <c r="BG45">
        <v>0</v>
      </c>
      <c r="BH45" t="s">
        <v>128</v>
      </c>
      <c r="BL45" t="s">
        <v>127</v>
      </c>
      <c r="BM45">
        <v>0.33</v>
      </c>
      <c r="BN45" t="s">
        <v>128</v>
      </c>
      <c r="BR45" s="61" t="s">
        <v>130</v>
      </c>
      <c r="BS45" s="61">
        <v>8</v>
      </c>
      <c r="BT45" s="61" t="s">
        <v>131</v>
      </c>
      <c r="BU45" s="61"/>
      <c r="BV45" s="61"/>
      <c r="BW45" s="61"/>
      <c r="BX45" s="61"/>
      <c r="BY45" s="61"/>
      <c r="BZ45" s="61"/>
    </row>
    <row r="46" spans="1:78" ht="12.75">
      <c r="A46" s="58" t="s">
        <v>241</v>
      </c>
      <c r="B46">
        <v>1</v>
      </c>
      <c r="C46" s="74" t="s">
        <v>242</v>
      </c>
      <c r="D46" s="95" t="s">
        <v>243</v>
      </c>
      <c r="E46" s="87">
        <v>25</v>
      </c>
      <c r="F46" s="87" t="s">
        <v>53</v>
      </c>
      <c r="G46" s="64" t="s">
        <v>244</v>
      </c>
      <c r="H46" s="57">
        <v>2.7E-05</v>
      </c>
      <c r="M46" s="94" t="s">
        <v>245</v>
      </c>
      <c r="N46" s="94">
        <v>17.48</v>
      </c>
      <c r="O46" s="94"/>
      <c r="P46" s="94"/>
      <c r="Q46" s="94"/>
      <c r="R46" s="94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72" t="s">
        <v>246</v>
      </c>
      <c r="AL46" s="103">
        <f>AO46/(AL71*((AL96*AL106*AL107*(AL27+AL102))+(AL97*AL106)))</f>
        <v>0.03082919056656853</v>
      </c>
      <c r="AM46" s="71" t="s">
        <v>34</v>
      </c>
      <c r="AN46" s="72" t="s">
        <v>246</v>
      </c>
      <c r="AO46" s="103">
        <f>AO5/(AO11*AO8/365*AO7*AO78*1000)</f>
        <v>0.00024709596239104676</v>
      </c>
      <c r="AP46" s="71" t="s">
        <v>34</v>
      </c>
      <c r="AQ46" s="72" t="s">
        <v>246</v>
      </c>
      <c r="AR46" s="103">
        <f>AO46/(AR71*AR79/1000)</f>
        <v>2.685825678163552</v>
      </c>
      <c r="AS46" s="81" t="s">
        <v>34</v>
      </c>
      <c r="AT46" t="s">
        <v>90</v>
      </c>
      <c r="AU46" s="70">
        <f>0.0000000158</f>
        <v>1.5800000000000003E-08</v>
      </c>
      <c r="AV46" s="74" t="s">
        <v>136</v>
      </c>
      <c r="AZ46" t="s">
        <v>90</v>
      </c>
      <c r="BA46" s="70">
        <f>0.0000000158</f>
        <v>1.5800000000000003E-08</v>
      </c>
      <c r="BB46" s="74" t="s">
        <v>136</v>
      </c>
      <c r="BF46" t="s">
        <v>90</v>
      </c>
      <c r="BG46" s="70">
        <f>AU46</f>
        <v>1.5800000000000003E-08</v>
      </c>
      <c r="BH46" s="74" t="s">
        <v>136</v>
      </c>
      <c r="BL46" t="s">
        <v>90</v>
      </c>
      <c r="BM46" s="70">
        <f>BG46</f>
        <v>1.5800000000000003E-08</v>
      </c>
      <c r="BN46" s="74" t="s">
        <v>136</v>
      </c>
      <c r="BR46" s="61" t="s">
        <v>90</v>
      </c>
      <c r="BS46" s="68">
        <f>BM46</f>
        <v>1.5800000000000003E-08</v>
      </c>
      <c r="BT46" s="61" t="s">
        <v>138</v>
      </c>
      <c r="BU46" s="61"/>
      <c r="BV46" s="61"/>
      <c r="BW46" s="61"/>
      <c r="BX46" s="61"/>
      <c r="BY46" s="61"/>
      <c r="BZ46" s="61"/>
    </row>
    <row r="47" spans="1:78" ht="12.75">
      <c r="A47" s="58" t="s">
        <v>184</v>
      </c>
      <c r="B47" s="57">
        <f>B39/(B41*B40*B42*B43*B45*B46*(1/B44))</f>
        <v>0.11437538458723066</v>
      </c>
      <c r="D47" t="s">
        <v>74</v>
      </c>
      <c r="E47" s="70">
        <f>E9</f>
        <v>1.1499999999999999E-08</v>
      </c>
      <c r="F47" s="74" t="s">
        <v>56</v>
      </c>
      <c r="G47" s="64" t="s">
        <v>247</v>
      </c>
      <c r="H47" s="57">
        <f>0+H46</f>
        <v>2.7E-05</v>
      </c>
      <c r="M47" s="94" t="s">
        <v>248</v>
      </c>
      <c r="N47" s="94">
        <v>9.08</v>
      </c>
      <c r="O47" s="94"/>
      <c r="P47" s="94"/>
      <c r="Q47" s="94"/>
      <c r="R47" s="94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72" t="s">
        <v>249</v>
      </c>
      <c r="AL47" s="103"/>
      <c r="AM47" s="81"/>
      <c r="AN47" s="72" t="s">
        <v>249</v>
      </c>
      <c r="AO47" s="103">
        <f>AO5/(AO11*AO8/365*AO7*AO79*1000)</f>
        <v>0.0020942454037911696</v>
      </c>
      <c r="AP47" s="81" t="s">
        <v>34</v>
      </c>
      <c r="AQ47" s="72" t="s">
        <v>249</v>
      </c>
      <c r="AR47" s="103"/>
      <c r="AS47" s="103"/>
      <c r="AT47" t="s">
        <v>147</v>
      </c>
      <c r="AU47">
        <v>0.683</v>
      </c>
      <c r="AV47" t="s">
        <v>128</v>
      </c>
      <c r="BF47" s="74" t="s">
        <v>130</v>
      </c>
      <c r="BG47">
        <v>8</v>
      </c>
      <c r="BH47" s="74" t="s">
        <v>129</v>
      </c>
      <c r="BL47" s="74" t="s">
        <v>130</v>
      </c>
      <c r="BM47">
        <v>8</v>
      </c>
      <c r="BN47" s="74" t="s">
        <v>129</v>
      </c>
      <c r="BR47" s="74" t="s">
        <v>130</v>
      </c>
      <c r="BS47">
        <v>8</v>
      </c>
      <c r="BT47" s="74" t="s">
        <v>129</v>
      </c>
      <c r="BU47" s="61"/>
      <c r="BV47" s="61"/>
      <c r="BW47" s="61"/>
      <c r="BX47" s="61"/>
      <c r="BY47" s="61"/>
      <c r="BZ47" s="61"/>
    </row>
    <row r="48" spans="4:78" ht="12.75">
      <c r="D48" s="95" t="s">
        <v>84</v>
      </c>
      <c r="E48" s="96">
        <v>8</v>
      </c>
      <c r="F48" s="95" t="s">
        <v>85</v>
      </c>
      <c r="G48" s="64" t="s">
        <v>250</v>
      </c>
      <c r="H48" s="65">
        <f>0+(0.693/H44)</f>
        <v>0.0495</v>
      </c>
      <c r="M48" s="94" t="s">
        <v>251</v>
      </c>
      <c r="N48" s="94">
        <v>5.4</v>
      </c>
      <c r="O48" s="94"/>
      <c r="P48" s="94"/>
      <c r="Q48" s="94"/>
      <c r="R48" s="94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72" t="s">
        <v>252</v>
      </c>
      <c r="AL48" s="103"/>
      <c r="AM48" s="81"/>
      <c r="AN48" s="72" t="s">
        <v>252</v>
      </c>
      <c r="AO48" s="103">
        <f>AO5/(AO11*AO8/365*AO7*AO76*1000)</f>
        <v>0.0016267679178903827</v>
      </c>
      <c r="AP48" s="81" t="s">
        <v>34</v>
      </c>
      <c r="AQ48" s="72" t="s">
        <v>252</v>
      </c>
      <c r="AR48" s="103"/>
      <c r="AS48" s="103"/>
      <c r="BU48" s="61"/>
      <c r="BV48" s="61"/>
      <c r="BW48" s="61"/>
      <c r="BX48" s="61"/>
      <c r="BY48" s="61"/>
      <c r="BZ48" s="61"/>
    </row>
    <row r="49" spans="4:45" ht="12.75">
      <c r="D49" s="87"/>
      <c r="E49" s="96">
        <v>24</v>
      </c>
      <c r="F49" s="95" t="s">
        <v>85</v>
      </c>
      <c r="G49" s="64" t="s">
        <v>253</v>
      </c>
      <c r="H49">
        <v>240</v>
      </c>
      <c r="M49" s="94" t="s">
        <v>254</v>
      </c>
      <c r="N49" s="94">
        <v>20.5</v>
      </c>
      <c r="O49" s="94"/>
      <c r="P49" s="94"/>
      <c r="Q49" s="94"/>
      <c r="R49" s="94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72" t="s">
        <v>255</v>
      </c>
      <c r="AL49" s="103"/>
      <c r="AM49" s="81"/>
      <c r="AN49" s="72" t="s">
        <v>255</v>
      </c>
      <c r="AO49" s="103">
        <f>AO5/(AO11*AO8/365*AO7*AO75*1000)</f>
        <v>0.0038987412513314472</v>
      </c>
      <c r="AP49" s="81" t="s">
        <v>34</v>
      </c>
      <c r="AQ49" s="72" t="s">
        <v>255</v>
      </c>
      <c r="AR49" s="103"/>
      <c r="AS49" s="103"/>
    </row>
    <row r="50" spans="4:45" ht="12.75">
      <c r="D50" s="95" t="s">
        <v>256</v>
      </c>
      <c r="E50" s="93">
        <v>60</v>
      </c>
      <c r="F50" s="95" t="s">
        <v>83</v>
      </c>
      <c r="G50" s="64" t="s">
        <v>154</v>
      </c>
      <c r="H50" s="65">
        <f>0.26</f>
        <v>0.26</v>
      </c>
      <c r="M50" s="94" t="s">
        <v>257</v>
      </c>
      <c r="N50" s="94">
        <v>3.8</v>
      </c>
      <c r="O50" s="94"/>
      <c r="P50" s="94"/>
      <c r="Q50" s="94"/>
      <c r="R50" s="94"/>
      <c r="AK50" s="72" t="s">
        <v>258</v>
      </c>
      <c r="AL50" s="59">
        <v>1</v>
      </c>
      <c r="AM50" s="59"/>
      <c r="AN50" s="59"/>
      <c r="AO50" s="59"/>
      <c r="AP50" s="59"/>
      <c r="AQ50" s="59"/>
      <c r="AR50" s="59"/>
      <c r="AS50" s="59"/>
    </row>
    <row r="51" spans="4:45" ht="12.75">
      <c r="D51" s="64" t="s">
        <v>118</v>
      </c>
      <c r="E51" s="57">
        <f>B17</f>
        <v>2.6E-11</v>
      </c>
      <c r="F51" s="64" t="s">
        <v>119</v>
      </c>
      <c r="G51" s="64" t="s">
        <v>259</v>
      </c>
      <c r="H51">
        <v>0.42</v>
      </c>
      <c r="M51" s="94" t="s">
        <v>260</v>
      </c>
      <c r="N51" s="94">
        <v>10.4</v>
      </c>
      <c r="O51" s="94"/>
      <c r="P51" s="94"/>
      <c r="Q51" s="94"/>
      <c r="R51" s="94"/>
      <c r="AK51" s="59" t="s">
        <v>261</v>
      </c>
      <c r="AL51" s="59">
        <v>10000</v>
      </c>
      <c r="AM51" s="59" t="s">
        <v>262</v>
      </c>
      <c r="AN51" s="59"/>
      <c r="AO51" s="59"/>
      <c r="AP51" s="59"/>
      <c r="AQ51" t="s">
        <v>221</v>
      </c>
      <c r="AR51" s="57">
        <f>(AR54*AR55*AR26*(1-EXP(-AR62*AR57)))/(AR64*AR62)</f>
        <v>1.4298564304940413</v>
      </c>
      <c r="AS51" s="59"/>
    </row>
    <row r="52" spans="4:45" ht="12.75">
      <c r="D52" s="92" t="s">
        <v>113</v>
      </c>
      <c r="E52" s="92">
        <v>1</v>
      </c>
      <c r="F52" s="87"/>
      <c r="G52" s="64" t="s">
        <v>263</v>
      </c>
      <c r="H52">
        <v>1</v>
      </c>
      <c r="M52" s="94" t="s">
        <v>229</v>
      </c>
      <c r="N52" s="89">
        <f>0.04</f>
        <v>0.04</v>
      </c>
      <c r="O52" s="94"/>
      <c r="P52" s="94"/>
      <c r="Q52" s="94"/>
      <c r="R52" s="94"/>
      <c r="AK52" s="59" t="s">
        <v>264</v>
      </c>
      <c r="AL52" s="59">
        <v>100000</v>
      </c>
      <c r="AM52" s="59" t="s">
        <v>262</v>
      </c>
      <c r="AN52" s="59"/>
      <c r="AO52" s="59"/>
      <c r="AP52" s="59"/>
      <c r="AQ52" t="s">
        <v>224</v>
      </c>
      <c r="AR52" s="57">
        <f>(AR54*AR55*AR65*(1-EXP(-AR62*AR57)))/(AR64*AR62)</f>
        <v>9.294066798211269</v>
      </c>
      <c r="AS52" s="59"/>
    </row>
    <row r="53" spans="4:45" ht="12.75">
      <c r="D53" s="87" t="s">
        <v>140</v>
      </c>
      <c r="E53" s="57">
        <f>(E43)/((E48/E49)*E45*E46*E47*E50)</f>
        <v>0.0006956521739130436</v>
      </c>
      <c r="F53" s="87" t="s">
        <v>33</v>
      </c>
      <c r="G53" s="64"/>
      <c r="AK53" s="59" t="s">
        <v>198</v>
      </c>
      <c r="AL53" s="59">
        <f>1</f>
        <v>1</v>
      </c>
      <c r="AM53" s="59" t="s">
        <v>236</v>
      </c>
      <c r="AN53" s="59"/>
      <c r="AO53" s="59"/>
      <c r="AP53" s="59"/>
      <c r="AQ53" s="58" t="s">
        <v>226</v>
      </c>
      <c r="AR53" s="57">
        <f>(AR54*AR55*AR66*AR67*(1-EXP(-AR63*AR58)))/(AR60*AR63)</f>
        <v>3.642420320634722</v>
      </c>
      <c r="AS53" s="59"/>
    </row>
    <row r="54" spans="4:45" ht="12.75">
      <c r="D54" s="87" t="s">
        <v>149</v>
      </c>
      <c r="E54" s="57">
        <f>(E43)/((E48/E49)*E45*E46*E51*(1/365))</f>
        <v>6738.461538461539</v>
      </c>
      <c r="F54" s="87" t="s">
        <v>33</v>
      </c>
      <c r="G54" s="64" t="s">
        <v>82</v>
      </c>
      <c r="H54" s="65">
        <f>(H55*H9+H56*H15)/H11</f>
        <v>18</v>
      </c>
      <c r="M54" t="s">
        <v>267</v>
      </c>
      <c r="N54">
        <v>0.26</v>
      </c>
      <c r="AK54" s="59" t="s">
        <v>268</v>
      </c>
      <c r="AL54" s="59">
        <v>1</v>
      </c>
      <c r="AM54" s="59"/>
      <c r="AN54" s="59" t="s">
        <v>268</v>
      </c>
      <c r="AO54" s="59">
        <v>1</v>
      </c>
      <c r="AP54" s="59"/>
      <c r="AQ54" s="58" t="s">
        <v>227</v>
      </c>
      <c r="AR54">
        <v>3.62</v>
      </c>
      <c r="AS54" s="59"/>
    </row>
    <row r="55" spans="4:45" ht="12.75">
      <c r="D55" s="87" t="s">
        <v>140</v>
      </c>
      <c r="E55" s="57">
        <f>(E43*E44*E46)/((E48/E49)*(1-EXP(-E44*E46))*E47*E50*E45*E46)</f>
        <v>0.0006994241843707932</v>
      </c>
      <c r="F55" s="87" t="s">
        <v>35</v>
      </c>
      <c r="G55" s="64" t="s">
        <v>341</v>
      </c>
      <c r="H55" s="65">
        <f>10</f>
        <v>10</v>
      </c>
      <c r="AK55" s="59" t="s">
        <v>269</v>
      </c>
      <c r="AL55" s="59">
        <f>(AL12*AL57+AL15*AL58)/AL11</f>
        <v>18.235</v>
      </c>
      <c r="AM55" s="59"/>
      <c r="AN55" s="59" t="s">
        <v>269</v>
      </c>
      <c r="AO55" s="97">
        <f>18.235</f>
        <v>18.235</v>
      </c>
      <c r="AP55" s="59"/>
      <c r="AQ55" s="58" t="s">
        <v>228</v>
      </c>
      <c r="AR55">
        <v>0.25</v>
      </c>
      <c r="AS55" s="59"/>
    </row>
    <row r="56" spans="4:72" ht="12.75">
      <c r="D56" s="87" t="s">
        <v>149</v>
      </c>
      <c r="E56" s="57">
        <f>(E43*E44*E46)/((E48/E49)*(1-EXP(-E44*E46))*E51*E45*E46*(1/365))</f>
        <v>6774.999262837855</v>
      </c>
      <c r="F56" s="87" t="s">
        <v>35</v>
      </c>
      <c r="G56" s="64" t="s">
        <v>342</v>
      </c>
      <c r="H56" s="65">
        <f>20</f>
        <v>20</v>
      </c>
      <c r="AK56" s="59" t="s">
        <v>270</v>
      </c>
      <c r="AL56" s="59">
        <f>(AL12*AL59+AL15*AL60)/AL11</f>
        <v>9.41</v>
      </c>
      <c r="AM56" s="59"/>
      <c r="AN56" s="59" t="s">
        <v>270</v>
      </c>
      <c r="AO56" s="59">
        <f>AL56</f>
        <v>9.41</v>
      </c>
      <c r="AP56" s="59"/>
      <c r="AQ56" s="58"/>
      <c r="AR56" s="57"/>
      <c r="AS56" s="59"/>
      <c r="AT56" s="64"/>
      <c r="AU56" s="64"/>
      <c r="AV56" s="64"/>
      <c r="BF56" s="64"/>
      <c r="BG56" s="64"/>
      <c r="BH56" s="64"/>
      <c r="BL56" s="64"/>
      <c r="BM56" s="64"/>
      <c r="BN56" s="64"/>
      <c r="BR56" s="62"/>
      <c r="BS56" s="62"/>
      <c r="BT56" s="62"/>
    </row>
    <row r="57" spans="7:72" ht="12.75">
      <c r="G57" s="64"/>
      <c r="AK57" s="59" t="s">
        <v>271</v>
      </c>
      <c r="AL57" s="59">
        <v>5.4</v>
      </c>
      <c r="AM57" s="59"/>
      <c r="AN57" s="59"/>
      <c r="AO57" s="59"/>
      <c r="AP57" s="59"/>
      <c r="AQ57" s="58" t="s">
        <v>230</v>
      </c>
      <c r="AR57">
        <v>10950</v>
      </c>
      <c r="AS57" s="59"/>
      <c r="BR57" s="61"/>
      <c r="BS57" s="61"/>
      <c r="BT57" s="61"/>
    </row>
    <row r="58" spans="7:45" ht="12.75">
      <c r="G58" s="64"/>
      <c r="AK58" s="59" t="s">
        <v>272</v>
      </c>
      <c r="AL58" s="59">
        <v>20.5</v>
      </c>
      <c r="AM58" s="59"/>
      <c r="AN58" s="59"/>
      <c r="AO58" s="59"/>
      <c r="AP58" s="59"/>
      <c r="AQ58" s="58" t="s">
        <v>231</v>
      </c>
      <c r="AR58">
        <v>60</v>
      </c>
      <c r="AS58" s="59"/>
    </row>
    <row r="59" spans="7:72" ht="12.75">
      <c r="G59" s="64"/>
      <c r="AK59" s="59" t="s">
        <v>273</v>
      </c>
      <c r="AL59" s="59">
        <v>3.8</v>
      </c>
      <c r="AM59" s="59"/>
      <c r="AN59" s="59"/>
      <c r="AO59" s="59"/>
      <c r="AP59" s="59"/>
      <c r="AQ59" s="64" t="s">
        <v>233</v>
      </c>
      <c r="AR59">
        <v>14</v>
      </c>
      <c r="AS59" s="59"/>
      <c r="BR59" s="61"/>
      <c r="BS59" s="61"/>
      <c r="BT59" s="61"/>
    </row>
    <row r="60" spans="7:72" ht="12.75">
      <c r="G60" s="64"/>
      <c r="AK60" s="59" t="s">
        <v>274</v>
      </c>
      <c r="AL60" s="59">
        <v>10.4</v>
      </c>
      <c r="AM60" s="59"/>
      <c r="AN60" s="59"/>
      <c r="AO60" s="59"/>
      <c r="AP60" s="59"/>
      <c r="AQ60" s="64" t="s">
        <v>238</v>
      </c>
      <c r="AR60">
        <v>2</v>
      </c>
      <c r="AS60" s="59"/>
      <c r="BR60" s="61"/>
      <c r="BS60" s="61"/>
      <c r="BT60" s="61"/>
    </row>
    <row r="61" spans="7:72" ht="12.75">
      <c r="G61" s="64"/>
      <c r="AK61" s="77" t="s">
        <v>275</v>
      </c>
      <c r="AL61" s="59">
        <v>0.001</v>
      </c>
      <c r="AM61" s="77" t="s">
        <v>276</v>
      </c>
      <c r="AN61" s="77"/>
      <c r="AO61" s="77"/>
      <c r="AP61" s="77"/>
      <c r="AQ61" s="64" t="s">
        <v>244</v>
      </c>
      <c r="AR61" s="57">
        <v>2.7E-05</v>
      </c>
      <c r="AS61" s="77"/>
      <c r="BR61" s="61"/>
      <c r="BS61" s="61"/>
      <c r="BT61" s="61"/>
    </row>
    <row r="62" spans="7:72" ht="12.75">
      <c r="G62" s="64"/>
      <c r="AK62" s="77" t="s">
        <v>277</v>
      </c>
      <c r="AL62" s="59">
        <v>0.005</v>
      </c>
      <c r="AM62" s="77" t="s">
        <v>276</v>
      </c>
      <c r="AN62" s="77"/>
      <c r="AO62" s="77"/>
      <c r="AP62" s="77"/>
      <c r="AQ62" s="64" t="s">
        <v>247</v>
      </c>
      <c r="AR62" s="57">
        <f>0+AR61</f>
        <v>2.7E-05</v>
      </c>
      <c r="AS62" s="77"/>
      <c r="BR62" s="61"/>
      <c r="BS62" s="61"/>
      <c r="BT62" s="61"/>
    </row>
    <row r="63" spans="7:72" ht="12.75">
      <c r="G63" s="64"/>
      <c r="AK63" s="59" t="s">
        <v>278</v>
      </c>
      <c r="AL63" s="59">
        <v>6.4</v>
      </c>
      <c r="AM63" s="59" t="s">
        <v>279</v>
      </c>
      <c r="AN63" s="59"/>
      <c r="AO63" s="59"/>
      <c r="AP63" s="59"/>
      <c r="AQ63" s="64" t="s">
        <v>250</v>
      </c>
      <c r="AR63" s="65">
        <f>0+(0.693/AR59)</f>
        <v>0.0495</v>
      </c>
      <c r="AS63" s="59"/>
      <c r="BR63" s="61"/>
      <c r="BS63" s="61"/>
      <c r="BT63" s="61"/>
    </row>
    <row r="64" spans="7:72" ht="12.75">
      <c r="G64" s="64"/>
      <c r="AK64" s="59" t="s">
        <v>280</v>
      </c>
      <c r="AL64" s="59">
        <v>45.8</v>
      </c>
      <c r="AM64" s="59" t="s">
        <v>279</v>
      </c>
      <c r="AN64" s="59"/>
      <c r="AO64" s="59"/>
      <c r="AP64" s="59"/>
      <c r="AQ64" s="64" t="s">
        <v>253</v>
      </c>
      <c r="AR64">
        <v>240</v>
      </c>
      <c r="AS64" s="59"/>
      <c r="BR64" s="61"/>
      <c r="BS64" s="61"/>
      <c r="BT64" s="61"/>
    </row>
    <row r="65" spans="7:45" ht="12.75">
      <c r="G65" s="64"/>
      <c r="AK65" s="59" t="s">
        <v>281</v>
      </c>
      <c r="AL65" s="59">
        <v>0.5</v>
      </c>
      <c r="AM65" s="59"/>
      <c r="AN65" s="59"/>
      <c r="AO65" s="59"/>
      <c r="AP65" s="59"/>
      <c r="AQ65" s="64" t="s">
        <v>154</v>
      </c>
      <c r="AR65" s="65">
        <f>0.26</f>
        <v>0.26</v>
      </c>
      <c r="AS65" s="59"/>
    </row>
    <row r="66" spans="7:45" ht="12.75">
      <c r="G66" s="64"/>
      <c r="AK66" s="59" t="s">
        <v>282</v>
      </c>
      <c r="AL66" s="59">
        <v>0.30000000000000004</v>
      </c>
      <c r="AM66" s="59"/>
      <c r="AN66" s="59"/>
      <c r="AO66" s="59"/>
      <c r="AP66" s="59"/>
      <c r="AQ66" s="64" t="s">
        <v>259</v>
      </c>
      <c r="AR66">
        <v>0.42</v>
      </c>
      <c r="AS66" s="59"/>
    </row>
    <row r="67" spans="7:45" ht="12.75">
      <c r="G67" s="64"/>
      <c r="AK67" s="59" t="s">
        <v>283</v>
      </c>
      <c r="AL67" s="59">
        <v>1.5</v>
      </c>
      <c r="AM67" s="59" t="s">
        <v>284</v>
      </c>
      <c r="AN67" s="59"/>
      <c r="AO67" s="59"/>
      <c r="AP67" s="59"/>
      <c r="AQ67" s="64" t="s">
        <v>263</v>
      </c>
      <c r="AR67">
        <v>1</v>
      </c>
      <c r="AS67" s="59"/>
    </row>
    <row r="68" spans="7:45" ht="12.75">
      <c r="G68" s="64"/>
      <c r="AK68" s="59" t="s">
        <v>285</v>
      </c>
      <c r="AL68" s="59">
        <f>(AL12*AL63+AL15*AL64)/AL11</f>
        <v>39.89</v>
      </c>
      <c r="AM68" s="59" t="s">
        <v>279</v>
      </c>
      <c r="AN68" s="59" t="s">
        <v>285</v>
      </c>
      <c r="AO68" s="59">
        <f>AL68</f>
        <v>39.89</v>
      </c>
      <c r="AP68" s="59" t="s">
        <v>279</v>
      </c>
      <c r="AQ68" s="59"/>
      <c r="AR68" s="59"/>
      <c r="AS68" s="59"/>
    </row>
    <row r="69" spans="7:45" ht="12.75">
      <c r="G69" s="64"/>
      <c r="AK69" s="59" t="s">
        <v>286</v>
      </c>
      <c r="AL69" s="71">
        <f>2000</f>
        <v>2000</v>
      </c>
      <c r="AM69" s="59" t="s">
        <v>287</v>
      </c>
      <c r="AN69" s="59"/>
      <c r="AO69" s="59"/>
      <c r="AP69" s="59"/>
      <c r="AQ69" s="59" t="s">
        <v>286</v>
      </c>
      <c r="AR69" s="71">
        <f>AL69</f>
        <v>2000</v>
      </c>
      <c r="AS69" s="59"/>
    </row>
    <row r="70" spans="7:45" ht="12.75">
      <c r="G70" s="64"/>
      <c r="AK70" s="77" t="s">
        <v>288</v>
      </c>
      <c r="AL70" s="71">
        <v>0.001</v>
      </c>
      <c r="AM70" s="59"/>
      <c r="AN70" s="59"/>
      <c r="AO70" s="59"/>
      <c r="AP70" s="59"/>
      <c r="AQ70" s="77" t="s">
        <v>288</v>
      </c>
      <c r="AR70" s="71">
        <f>AL70</f>
        <v>0.001</v>
      </c>
      <c r="AS70" s="59"/>
    </row>
    <row r="71" spans="7:45" ht="12.75">
      <c r="G71" s="64"/>
      <c r="AK71" s="77" t="s">
        <v>289</v>
      </c>
      <c r="AL71" s="71">
        <v>0.001</v>
      </c>
      <c r="AM71" s="59"/>
      <c r="AN71" s="77"/>
      <c r="AO71" s="71"/>
      <c r="AP71" s="59"/>
      <c r="AQ71" s="77" t="s">
        <v>289</v>
      </c>
      <c r="AR71" s="71">
        <f>AL71</f>
        <v>0.001</v>
      </c>
      <c r="AS71" s="59"/>
    </row>
    <row r="72" spans="2:45" ht="12.75">
      <c r="B72" s="57"/>
      <c r="AK72" s="77" t="s">
        <v>290</v>
      </c>
      <c r="AL72" s="71"/>
      <c r="AM72" s="59"/>
      <c r="AN72" s="59"/>
      <c r="AO72" s="59"/>
      <c r="AP72" s="59"/>
      <c r="AQ72" s="77" t="s">
        <v>290</v>
      </c>
      <c r="AR72" s="71"/>
      <c r="AS72" s="59"/>
    </row>
    <row r="73" spans="37:45" ht="12.75">
      <c r="AK73" s="77" t="s">
        <v>291</v>
      </c>
      <c r="AL73" s="59"/>
      <c r="AM73" s="59"/>
      <c r="AN73" s="59"/>
      <c r="AO73" s="59"/>
      <c r="AP73" s="59"/>
      <c r="AQ73" s="77" t="s">
        <v>291</v>
      </c>
      <c r="AR73" s="71"/>
      <c r="AS73" s="59"/>
    </row>
    <row r="74" spans="37:45" ht="12.75">
      <c r="AK74" s="77" t="s">
        <v>292</v>
      </c>
      <c r="AL74" s="71"/>
      <c r="AM74" s="77" t="s">
        <v>293</v>
      </c>
      <c r="AN74" s="77"/>
      <c r="AO74" s="77"/>
      <c r="AP74" s="77"/>
      <c r="AQ74" s="77" t="s">
        <v>292</v>
      </c>
      <c r="AR74" s="71"/>
      <c r="AS74" s="77"/>
    </row>
    <row r="75" spans="37:45" ht="12.75">
      <c r="AK75" s="77" t="s">
        <v>294</v>
      </c>
      <c r="AL75" s="59">
        <f>(AL12*AL80+AL15*AL81)/AL11</f>
        <v>13.01</v>
      </c>
      <c r="AM75" s="59"/>
      <c r="AN75" s="59" t="str">
        <f>AK75</f>
        <v>IFE f-adj</v>
      </c>
      <c r="AO75" s="59">
        <f>AL75</f>
        <v>13.01</v>
      </c>
      <c r="AP75" s="59"/>
      <c r="AQ75" s="59"/>
      <c r="AR75" s="59"/>
      <c r="AS75" s="59"/>
    </row>
    <row r="76" spans="37:45" ht="12.75">
      <c r="AK76" s="77" t="s">
        <v>295</v>
      </c>
      <c r="AL76" s="59">
        <f>(AL12*AL82+AL15*AL83)/AL11</f>
        <v>31.179999999999996</v>
      </c>
      <c r="AM76" s="59"/>
      <c r="AN76" s="77" t="s">
        <v>295</v>
      </c>
      <c r="AO76" s="59">
        <f>AL76</f>
        <v>31.179999999999996</v>
      </c>
      <c r="AP76" s="59"/>
      <c r="AQ76" s="59"/>
      <c r="AR76" s="59"/>
      <c r="AS76" s="59"/>
    </row>
    <row r="77" spans="37:45" ht="12.75">
      <c r="AK77" s="77" t="s">
        <v>296</v>
      </c>
      <c r="AL77" s="59">
        <f>(AL12*AL84+AL15*AL85)/AL11</f>
        <v>43.37500000000001</v>
      </c>
      <c r="AM77" s="59"/>
      <c r="AN77" s="77" t="s">
        <v>296</v>
      </c>
      <c r="AO77" s="59">
        <f>AL77</f>
        <v>43.37500000000001</v>
      </c>
      <c r="AP77" s="59"/>
      <c r="AQ77" s="59"/>
      <c r="AR77" s="59"/>
      <c r="AS77" s="59"/>
    </row>
    <row r="78" spans="2:45" ht="12.75">
      <c r="B78" s="57"/>
      <c r="AK78" s="77" t="s">
        <v>297</v>
      </c>
      <c r="AL78" s="59">
        <f>(AL12*AL86+AL15*AL87)/AL11</f>
        <v>205.275</v>
      </c>
      <c r="AM78" s="59"/>
      <c r="AN78" s="77" t="s">
        <v>297</v>
      </c>
      <c r="AO78" s="59">
        <f>AL78</f>
        <v>205.275</v>
      </c>
      <c r="AP78" s="59"/>
      <c r="AQ78" s="59" t="s">
        <v>298</v>
      </c>
      <c r="AR78" s="59">
        <v>53</v>
      </c>
      <c r="AS78" s="59"/>
    </row>
    <row r="79" spans="37:45" ht="12.75">
      <c r="AK79" s="77" t="s">
        <v>299</v>
      </c>
      <c r="AL79" s="59">
        <f>(AL12*AL88+AL15*AL89)/AL11</f>
        <v>24.22</v>
      </c>
      <c r="AM79" s="59"/>
      <c r="AN79" s="77" t="s">
        <v>299</v>
      </c>
      <c r="AO79" s="59">
        <f>AL79</f>
        <v>24.22</v>
      </c>
      <c r="AP79" s="59"/>
      <c r="AQ79" s="59" t="s">
        <v>300</v>
      </c>
      <c r="AR79" s="59">
        <v>92</v>
      </c>
      <c r="AS79" s="59"/>
    </row>
    <row r="80" spans="37:45" ht="12.75">
      <c r="AK80" s="77" t="s">
        <v>301</v>
      </c>
      <c r="AL80" s="59">
        <v>2.3</v>
      </c>
      <c r="AM80" s="59"/>
      <c r="AN80" s="59"/>
      <c r="AO80" s="59"/>
      <c r="AP80" s="59"/>
      <c r="AQ80" s="59" t="s">
        <v>302</v>
      </c>
      <c r="AR80" s="59">
        <v>1</v>
      </c>
      <c r="AS80" s="59"/>
    </row>
    <row r="81" spans="37:45" ht="12.75">
      <c r="AK81" s="77" t="s">
        <v>303</v>
      </c>
      <c r="AL81" s="59">
        <v>14.9</v>
      </c>
      <c r="AM81" s="59"/>
      <c r="AN81" s="59"/>
      <c r="AO81" s="59"/>
      <c r="AP81" s="59"/>
      <c r="AQ81" s="59" t="s">
        <v>304</v>
      </c>
      <c r="AR81" s="59">
        <v>11.4</v>
      </c>
      <c r="AS81" s="59"/>
    </row>
    <row r="82" spans="37:45" ht="12.75">
      <c r="AK82" s="77" t="s">
        <v>305</v>
      </c>
      <c r="AL82" s="59">
        <v>5</v>
      </c>
      <c r="AM82" s="59"/>
      <c r="AN82" s="59"/>
      <c r="AO82" s="59"/>
      <c r="AP82" s="59"/>
      <c r="AQ82" s="59"/>
      <c r="AR82" s="59"/>
      <c r="AS82" s="59"/>
    </row>
    <row r="83" spans="37:45" ht="12.75">
      <c r="AK83" s="77" t="s">
        <v>306</v>
      </c>
      <c r="AL83" s="59">
        <v>35.8</v>
      </c>
      <c r="AM83" s="59"/>
      <c r="AN83" s="59"/>
      <c r="AO83" s="59"/>
      <c r="AP83" s="59"/>
      <c r="AQ83" s="59"/>
      <c r="AR83" s="59"/>
      <c r="AS83" s="59"/>
    </row>
    <row r="84" spans="37:45" ht="12.75">
      <c r="AK84" s="77" t="s">
        <v>307</v>
      </c>
      <c r="AL84" s="59">
        <v>4.7</v>
      </c>
      <c r="AM84" s="59"/>
      <c r="AN84" s="59"/>
      <c r="AO84" s="59"/>
      <c r="AP84" s="59"/>
      <c r="AQ84" s="59"/>
      <c r="AR84" s="59"/>
      <c r="AS84" s="59"/>
    </row>
    <row r="85" spans="37:45" ht="12.75">
      <c r="AK85" s="77" t="s">
        <v>308</v>
      </c>
      <c r="AL85" s="59">
        <v>50.2</v>
      </c>
      <c r="AM85" s="59"/>
      <c r="AN85" s="59"/>
      <c r="AO85" s="59"/>
      <c r="AP85" s="59"/>
      <c r="AQ85" s="59"/>
      <c r="AR85" s="59"/>
      <c r="AS85" s="59"/>
    </row>
    <row r="86" spans="37:45" ht="12.75">
      <c r="AK86" s="77" t="s">
        <v>309</v>
      </c>
      <c r="AL86" s="59">
        <v>96.9</v>
      </c>
      <c r="AM86" s="59"/>
      <c r="AN86" s="59"/>
      <c r="AO86" s="59"/>
      <c r="AP86" s="59"/>
      <c r="AQ86" s="59"/>
      <c r="AR86" s="59"/>
      <c r="AS86" s="59"/>
    </row>
    <row r="87" spans="37:45" ht="12.75">
      <c r="AK87" s="77" t="s">
        <v>310</v>
      </c>
      <c r="AL87" s="59">
        <v>224.4</v>
      </c>
      <c r="AM87" s="59"/>
      <c r="AN87" s="59"/>
      <c r="AO87" s="59"/>
      <c r="AP87" s="59"/>
      <c r="AQ87" s="59"/>
      <c r="AR87" s="59"/>
      <c r="AS87" s="59"/>
    </row>
    <row r="88" spans="37:45" ht="12.75">
      <c r="AK88" s="77" t="s">
        <v>311</v>
      </c>
      <c r="AL88" s="59">
        <v>4.5</v>
      </c>
      <c r="AM88" s="59"/>
      <c r="AN88" s="59"/>
      <c r="AO88" s="59"/>
      <c r="AP88" s="59"/>
      <c r="AQ88" s="59"/>
      <c r="AR88" s="59"/>
      <c r="AS88" s="59"/>
    </row>
    <row r="89" spans="37:45" ht="12.75">
      <c r="AK89" s="77" t="s">
        <v>312</v>
      </c>
      <c r="AL89" s="59">
        <v>27.7</v>
      </c>
      <c r="AM89" s="59"/>
      <c r="AN89" s="59"/>
      <c r="AO89" s="59"/>
      <c r="AP89" s="59"/>
      <c r="AQ89" s="59"/>
      <c r="AR89" s="59"/>
      <c r="AS89" s="59"/>
    </row>
    <row r="90" spans="37:45" ht="12.75">
      <c r="AK90" s="77" t="s">
        <v>313</v>
      </c>
      <c r="AL90" s="59">
        <v>0.2</v>
      </c>
      <c r="AM90" s="77" t="s">
        <v>314</v>
      </c>
      <c r="AN90" s="77"/>
      <c r="AO90" s="77"/>
      <c r="AP90" s="77"/>
      <c r="AQ90" s="77"/>
      <c r="AR90" s="77"/>
      <c r="AS90" s="77"/>
    </row>
    <row r="91" spans="37:45" ht="12.75">
      <c r="AK91" s="77" t="s">
        <v>315</v>
      </c>
      <c r="AL91" s="59">
        <v>0.022</v>
      </c>
      <c r="AM91" s="77" t="s">
        <v>314</v>
      </c>
      <c r="AN91" s="77"/>
      <c r="AO91" s="77"/>
      <c r="AP91" s="77"/>
      <c r="AQ91" s="77"/>
      <c r="AR91" s="77"/>
      <c r="AS91" s="77"/>
    </row>
    <row r="92" spans="37:45" ht="12.75">
      <c r="AK92" s="77" t="s">
        <v>316</v>
      </c>
      <c r="AL92" s="59">
        <v>53</v>
      </c>
      <c r="AM92" s="77" t="s">
        <v>65</v>
      </c>
      <c r="AN92" s="77"/>
      <c r="AO92" s="77"/>
      <c r="AP92" s="77"/>
      <c r="AQ92" s="77"/>
      <c r="AR92" s="77"/>
      <c r="AS92" s="77"/>
    </row>
    <row r="93" spans="37:45" ht="12.75">
      <c r="AK93" s="77" t="s">
        <v>317</v>
      </c>
      <c r="AL93" s="59">
        <v>11.77</v>
      </c>
      <c r="AM93" s="77" t="s">
        <v>314</v>
      </c>
      <c r="AN93" s="77"/>
      <c r="AO93" s="77"/>
      <c r="AP93" s="77"/>
      <c r="AQ93" s="77"/>
      <c r="AR93" s="77"/>
      <c r="AS93" s="77"/>
    </row>
    <row r="94" spans="37:45" ht="12.75">
      <c r="AK94" s="77" t="s">
        <v>318</v>
      </c>
      <c r="AL94" s="59">
        <v>0.39</v>
      </c>
      <c r="AM94" s="77" t="s">
        <v>314</v>
      </c>
      <c r="AN94" s="77"/>
      <c r="AO94" s="77"/>
      <c r="AP94" s="77"/>
      <c r="AQ94" s="77"/>
      <c r="AR94" s="77"/>
      <c r="AS94" s="77"/>
    </row>
    <row r="95" spans="37:45" ht="12.75">
      <c r="AK95" s="77" t="s">
        <v>319</v>
      </c>
      <c r="AL95" s="59">
        <v>92</v>
      </c>
      <c r="AM95" s="77" t="s">
        <v>65</v>
      </c>
      <c r="AN95" s="77"/>
      <c r="AO95" s="77"/>
      <c r="AP95" s="77"/>
      <c r="AQ95" s="77"/>
      <c r="AR95" s="77"/>
      <c r="AS95" s="77"/>
    </row>
    <row r="96" spans="37:45" ht="12.75">
      <c r="AK96" s="77" t="s">
        <v>320</v>
      </c>
      <c r="AL96" s="59">
        <v>16.9</v>
      </c>
      <c r="AM96" s="77" t="s">
        <v>314</v>
      </c>
      <c r="AN96" s="77"/>
      <c r="AO96" s="77"/>
      <c r="AP96" s="77"/>
      <c r="AQ96" s="77"/>
      <c r="AR96" s="77"/>
      <c r="AS96" s="77"/>
    </row>
    <row r="97" spans="37:45" ht="12.75">
      <c r="AK97" s="77" t="s">
        <v>321</v>
      </c>
      <c r="AL97" s="59">
        <v>0.41</v>
      </c>
      <c r="AM97" s="77" t="s">
        <v>314</v>
      </c>
      <c r="AN97" s="77"/>
      <c r="AO97" s="77"/>
      <c r="AP97" s="77"/>
      <c r="AQ97" s="77"/>
      <c r="AR97" s="77"/>
      <c r="AS97" s="77"/>
    </row>
    <row r="98" spans="37:45" ht="12.75">
      <c r="AK98" s="77" t="s">
        <v>322</v>
      </c>
      <c r="AL98" s="59">
        <v>11.4</v>
      </c>
      <c r="AM98" s="77" t="s">
        <v>65</v>
      </c>
      <c r="AN98" s="77"/>
      <c r="AO98" s="77"/>
      <c r="AP98" s="77"/>
      <c r="AQ98" s="77"/>
      <c r="AR98" s="77"/>
      <c r="AS98" s="77"/>
    </row>
    <row r="99" spans="37:45" ht="12.75">
      <c r="AK99" s="77" t="s">
        <v>323</v>
      </c>
      <c r="AL99" s="59">
        <v>4.7</v>
      </c>
      <c r="AM99" s="77" t="s">
        <v>314</v>
      </c>
      <c r="AN99" s="77"/>
      <c r="AO99" s="77"/>
      <c r="AP99" s="77"/>
      <c r="AQ99" s="77"/>
      <c r="AR99" s="77"/>
      <c r="AS99" s="77"/>
    </row>
    <row r="100" spans="37:45" ht="12.75">
      <c r="AK100" s="77" t="s">
        <v>324</v>
      </c>
      <c r="AL100" s="59">
        <v>0.37</v>
      </c>
      <c r="AM100" s="77" t="s">
        <v>314</v>
      </c>
      <c r="AN100" s="77"/>
      <c r="AO100" s="77"/>
      <c r="AP100" s="77"/>
      <c r="AQ100" s="77"/>
      <c r="AR100" s="77"/>
      <c r="AS100" s="77"/>
    </row>
    <row r="101" spans="37:38" ht="12.75">
      <c r="AK101" t="s">
        <v>325</v>
      </c>
      <c r="AL101">
        <v>0.26</v>
      </c>
    </row>
    <row r="102" spans="37:38" ht="12.75">
      <c r="AK102" t="s">
        <v>326</v>
      </c>
      <c r="AL102">
        <v>0.25</v>
      </c>
    </row>
    <row r="104" spans="37:38" ht="12.75">
      <c r="AK104" t="s">
        <v>327</v>
      </c>
      <c r="AL104">
        <v>1</v>
      </c>
    </row>
    <row r="105" spans="37:38" ht="12.75">
      <c r="AK105" t="s">
        <v>328</v>
      </c>
      <c r="AL105">
        <v>1</v>
      </c>
    </row>
    <row r="106" spans="37:38" ht="12.75">
      <c r="AK106" t="s">
        <v>329</v>
      </c>
      <c r="AL106">
        <v>1</v>
      </c>
    </row>
    <row r="107" spans="37:38" ht="12.75">
      <c r="AK107" t="s">
        <v>330</v>
      </c>
      <c r="AL107">
        <v>1</v>
      </c>
    </row>
    <row r="108" spans="37:38" ht="12.75">
      <c r="AK108" t="s">
        <v>331</v>
      </c>
      <c r="AL108">
        <v>1</v>
      </c>
    </row>
    <row r="109" spans="37:38" ht="12.75">
      <c r="AK109" t="s">
        <v>332</v>
      </c>
      <c r="AL109">
        <v>1</v>
      </c>
    </row>
    <row r="110" spans="37:38" ht="12.75">
      <c r="AK110" t="s">
        <v>333</v>
      </c>
      <c r="AL110">
        <v>1</v>
      </c>
    </row>
    <row r="111" spans="37:38" ht="12.75">
      <c r="AK111" t="s">
        <v>334</v>
      </c>
      <c r="AL111">
        <v>1</v>
      </c>
    </row>
    <row r="112" spans="37:38" ht="12.75">
      <c r="AK112" t="s">
        <v>335</v>
      </c>
      <c r="AL112">
        <v>1</v>
      </c>
    </row>
    <row r="113" spans="37:38" ht="12.75">
      <c r="AK113" t="s">
        <v>336</v>
      </c>
      <c r="AL113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9.00390625" style="0" customWidth="1"/>
    <col min="4" max="4" width="8.57421875" style="0" customWidth="1"/>
    <col min="5" max="5" width="9.7109375" style="0" customWidth="1"/>
    <col min="6" max="6" width="16.8515625" style="0" customWidth="1"/>
    <col min="7" max="7" width="9.00390625" style="0" customWidth="1"/>
    <col min="8" max="8" width="8.421875" style="0" customWidth="1"/>
    <col min="9" max="9" width="10.421875" style="0" customWidth="1"/>
    <col min="10" max="10" width="13.7109375" style="0" customWidth="1"/>
    <col min="11" max="13" width="8.57421875" style="0" customWidth="1"/>
    <col min="14" max="14" width="12.00390625" style="0" customWidth="1"/>
    <col min="15" max="15" width="14.28125" style="0" customWidth="1"/>
    <col min="16" max="16" width="8.140625" style="0" customWidth="1"/>
    <col min="17" max="17" width="11.28125" style="0" customWidth="1"/>
    <col min="18" max="18" width="12.421875" style="0" customWidth="1"/>
    <col min="19" max="19" width="8.140625" style="0" customWidth="1"/>
    <col min="20" max="20" width="13.8515625" style="0" customWidth="1"/>
    <col min="21" max="21" width="14.28125" style="0" customWidth="1"/>
    <col min="22" max="22" width="8.140625" style="0" customWidth="1"/>
    <col min="23" max="23" width="15.00390625" style="0" customWidth="1"/>
    <col min="24" max="24" width="14.28125" style="0" customWidth="1"/>
    <col min="25" max="25" width="8.140625" style="0" customWidth="1"/>
    <col min="26" max="26" width="17.421875" style="0" customWidth="1"/>
    <col min="27" max="27" width="14.28125" style="0" customWidth="1"/>
    <col min="28" max="28" width="13.57421875" style="0" customWidth="1"/>
    <col min="29" max="37" width="11.00390625" style="0" customWidth="1"/>
    <col min="38" max="38" width="12.00390625" style="0" customWidth="1"/>
    <col min="39" max="39" width="16.00390625" style="0" customWidth="1"/>
    <col min="40" max="46" width="10.421875" style="0" customWidth="1"/>
    <col min="47" max="47" width="10.140625" style="0" customWidth="1"/>
    <col min="48" max="48" width="15.421875" style="0" customWidth="1"/>
    <col min="49" max="49" width="10.421875" style="0" customWidth="1"/>
    <col min="50" max="50" width="11.57421875" style="0" customWidth="1"/>
    <col min="51" max="51" width="15.421875" style="0" customWidth="1"/>
    <col min="52" max="53" width="10.421875" style="0" customWidth="1"/>
    <col min="54" max="54" width="14.421875" style="0" customWidth="1"/>
    <col min="55" max="55" width="10.421875" style="0" customWidth="1"/>
    <col min="56" max="56" width="14.00390625" style="0" customWidth="1"/>
    <col min="57" max="58" width="10.421875" style="0" customWidth="1"/>
    <col min="59" max="59" width="10.140625" style="0" customWidth="1"/>
    <col min="60" max="60" width="15.421875" style="0" customWidth="1"/>
    <col min="61" max="61" width="10.421875" style="0" customWidth="1"/>
    <col min="62" max="62" width="11.57421875" style="0" customWidth="1"/>
    <col min="63" max="63" width="15.421875" style="0" customWidth="1"/>
    <col min="64" max="64" width="10.421875" style="0" customWidth="1"/>
    <col min="65" max="65" width="10.140625" style="0" customWidth="1"/>
    <col min="66" max="66" width="15.421875" style="0" customWidth="1"/>
    <col min="67" max="67" width="10.421875" style="0" customWidth="1"/>
    <col min="68" max="68" width="11.57421875" style="0" customWidth="1"/>
    <col min="69" max="69" width="15.421875" style="0" customWidth="1"/>
    <col min="70" max="70" width="9.57421875" style="0" customWidth="1"/>
    <col min="71" max="71" width="10.140625" style="0" customWidth="1"/>
    <col min="72" max="72" width="17.28125" style="0" customWidth="1"/>
    <col min="73" max="73" width="9.57421875" style="0" customWidth="1"/>
    <col min="74" max="74" width="11.57421875" style="0" customWidth="1"/>
    <col min="75" max="75" width="17.28125" style="0" customWidth="1"/>
    <col min="76" max="76" width="10.28125" style="0" customWidth="1"/>
    <col min="78" max="78" width="12.57421875" style="0" customWidth="1"/>
    <col min="83" max="83" width="11.00390625" style="0" customWidth="1"/>
  </cols>
  <sheetData>
    <row r="1" spans="1:78" ht="12.75">
      <c r="A1" s="1" t="s">
        <v>0</v>
      </c>
      <c r="B1" s="1"/>
      <c r="C1" s="1" t="s">
        <v>343</v>
      </c>
      <c r="D1" s="2" t="s">
        <v>2</v>
      </c>
      <c r="E1" s="2" t="s">
        <v>3</v>
      </c>
      <c r="F1" s="2" t="s">
        <v>343</v>
      </c>
      <c r="G1" s="3" t="s">
        <v>0</v>
      </c>
      <c r="H1" s="3"/>
      <c r="I1" s="3" t="s">
        <v>343</v>
      </c>
      <c r="J1" s="4" t="s">
        <v>4</v>
      </c>
      <c r="K1" s="4"/>
      <c r="L1" s="4" t="s">
        <v>343</v>
      </c>
      <c r="M1" s="5" t="s">
        <v>0</v>
      </c>
      <c r="N1" s="5"/>
      <c r="O1" s="5" t="s">
        <v>343</v>
      </c>
      <c r="P1" s="6" t="s">
        <v>4</v>
      </c>
      <c r="Q1" s="6"/>
      <c r="R1" s="6" t="s">
        <v>343</v>
      </c>
      <c r="S1" s="7" t="s">
        <v>2</v>
      </c>
      <c r="T1" s="8" t="s">
        <v>5</v>
      </c>
      <c r="U1" s="9" t="s">
        <v>343</v>
      </c>
      <c r="V1" s="7" t="s">
        <v>2</v>
      </c>
      <c r="W1" s="8" t="s">
        <v>39</v>
      </c>
      <c r="X1" s="9" t="s">
        <v>343</v>
      </c>
      <c r="Y1" s="7" t="s">
        <v>2</v>
      </c>
      <c r="Z1" s="8" t="s">
        <v>7</v>
      </c>
      <c r="AA1" s="9" t="s">
        <v>343</v>
      </c>
      <c r="AB1" s="10" t="s">
        <v>8</v>
      </c>
      <c r="AC1" s="10"/>
      <c r="AD1" s="10" t="s">
        <v>343</v>
      </c>
      <c r="AE1" s="11" t="s">
        <v>8</v>
      </c>
      <c r="AF1" s="11"/>
      <c r="AG1" s="11" t="s">
        <v>343</v>
      </c>
      <c r="AH1" s="12" t="s">
        <v>8</v>
      </c>
      <c r="AI1" s="12"/>
      <c r="AJ1" s="12" t="s">
        <v>343</v>
      </c>
      <c r="AK1" s="13" t="s">
        <v>9</v>
      </c>
      <c r="AL1" s="14"/>
      <c r="AM1" s="14" t="s">
        <v>343</v>
      </c>
      <c r="AN1" s="15" t="s">
        <v>9</v>
      </c>
      <c r="AO1" s="15"/>
      <c r="AP1" s="15" t="s">
        <v>343</v>
      </c>
      <c r="AQ1" s="16" t="s">
        <v>9</v>
      </c>
      <c r="AR1" s="16"/>
      <c r="AS1" s="16" t="s">
        <v>343</v>
      </c>
      <c r="AT1" s="17" t="s">
        <v>10</v>
      </c>
      <c r="AU1" s="17" t="s">
        <v>11</v>
      </c>
      <c r="AV1" s="17" t="s">
        <v>343</v>
      </c>
      <c r="AW1" s="17" t="s">
        <v>10</v>
      </c>
      <c r="AX1" s="17" t="s">
        <v>12</v>
      </c>
      <c r="AY1" s="17" t="s">
        <v>343</v>
      </c>
      <c r="AZ1" s="5" t="s">
        <v>10</v>
      </c>
      <c r="BA1" s="5" t="s">
        <v>11</v>
      </c>
      <c r="BB1" s="5" t="s">
        <v>343</v>
      </c>
      <c r="BC1" s="5" t="s">
        <v>10</v>
      </c>
      <c r="BD1" s="5" t="s">
        <v>13</v>
      </c>
      <c r="BE1" s="5" t="s">
        <v>343</v>
      </c>
      <c r="BF1" s="18" t="s">
        <v>10</v>
      </c>
      <c r="BG1" s="18" t="s">
        <v>11</v>
      </c>
      <c r="BH1" s="18" t="s">
        <v>343</v>
      </c>
      <c r="BI1" s="18" t="s">
        <v>10</v>
      </c>
      <c r="BJ1" s="18" t="s">
        <v>12</v>
      </c>
      <c r="BK1" s="18" t="s">
        <v>343</v>
      </c>
      <c r="BL1" s="19" t="s">
        <v>10</v>
      </c>
      <c r="BM1" s="19" t="s">
        <v>11</v>
      </c>
      <c r="BN1" s="19" t="s">
        <v>343</v>
      </c>
      <c r="BO1" s="19" t="s">
        <v>10</v>
      </c>
      <c r="BP1" s="19" t="s">
        <v>12</v>
      </c>
      <c r="BQ1" s="19" t="s">
        <v>343</v>
      </c>
      <c r="BR1" s="20" t="s">
        <v>10</v>
      </c>
      <c r="BS1" s="20" t="s">
        <v>11</v>
      </c>
      <c r="BT1" s="20" t="s">
        <v>343</v>
      </c>
      <c r="BU1" s="20" t="s">
        <v>10</v>
      </c>
      <c r="BV1" s="20" t="s">
        <v>12</v>
      </c>
      <c r="BW1" s="20" t="s">
        <v>343</v>
      </c>
      <c r="BX1" s="21" t="s">
        <v>14</v>
      </c>
      <c r="BY1" s="21" t="s">
        <v>343</v>
      </c>
      <c r="BZ1" s="21" t="s">
        <v>15</v>
      </c>
    </row>
    <row r="2" spans="1:78" ht="12.75">
      <c r="A2" s="1" t="s">
        <v>16</v>
      </c>
      <c r="B2" s="1" t="s">
        <v>14</v>
      </c>
      <c r="C2" s="1" t="s">
        <v>17</v>
      </c>
      <c r="D2" s="2" t="s">
        <v>16</v>
      </c>
      <c r="E2" s="2" t="s">
        <v>14</v>
      </c>
      <c r="F2" s="2" t="s">
        <v>17</v>
      </c>
      <c r="G2" s="3" t="s">
        <v>18</v>
      </c>
      <c r="H2" s="3" t="s">
        <v>14</v>
      </c>
      <c r="I2" s="3" t="s">
        <v>19</v>
      </c>
      <c r="J2" s="4" t="s">
        <v>20</v>
      </c>
      <c r="K2" s="4" t="s">
        <v>14</v>
      </c>
      <c r="L2" s="4" t="s">
        <v>19</v>
      </c>
      <c r="M2" s="5" t="s">
        <v>21</v>
      </c>
      <c r="N2" s="5" t="s">
        <v>14</v>
      </c>
      <c r="O2" s="5" t="s">
        <v>22</v>
      </c>
      <c r="P2" s="6" t="s">
        <v>21</v>
      </c>
      <c r="Q2" s="6" t="s">
        <v>14</v>
      </c>
      <c r="R2" s="6" t="s">
        <v>22</v>
      </c>
      <c r="S2" s="22" t="s">
        <v>21</v>
      </c>
      <c r="T2" s="23" t="s">
        <v>14</v>
      </c>
      <c r="U2" s="24" t="s">
        <v>22</v>
      </c>
      <c r="V2" s="22" t="s">
        <v>21</v>
      </c>
      <c r="W2" s="23" t="s">
        <v>14</v>
      </c>
      <c r="X2" s="24" t="s">
        <v>22</v>
      </c>
      <c r="Y2" s="22" t="s">
        <v>21</v>
      </c>
      <c r="Z2" s="23" t="s">
        <v>14</v>
      </c>
      <c r="AA2" s="24" t="s">
        <v>22</v>
      </c>
      <c r="AB2" s="10" t="s">
        <v>23</v>
      </c>
      <c r="AC2" s="10"/>
      <c r="AD2" s="10"/>
      <c r="AE2" s="11" t="s">
        <v>24</v>
      </c>
      <c r="AF2" s="11"/>
      <c r="AG2" s="11"/>
      <c r="AH2" s="12" t="s">
        <v>25</v>
      </c>
      <c r="AI2" s="12"/>
      <c r="AJ2" s="12"/>
      <c r="AK2" s="14" t="s">
        <v>26</v>
      </c>
      <c r="AL2" s="14" t="s">
        <v>14</v>
      </c>
      <c r="AM2" s="14" t="s">
        <v>22</v>
      </c>
      <c r="AN2" s="15" t="s">
        <v>27</v>
      </c>
      <c r="AO2" s="15"/>
      <c r="AP2" s="15"/>
      <c r="AQ2" s="16" t="s">
        <v>28</v>
      </c>
      <c r="AR2" s="16" t="s">
        <v>14</v>
      </c>
      <c r="AS2" s="16" t="s">
        <v>22</v>
      </c>
      <c r="AT2" s="25"/>
      <c r="AU2" s="17" t="s">
        <v>29</v>
      </c>
      <c r="AV2" s="26" t="s">
        <v>22</v>
      </c>
      <c r="AW2" s="25"/>
      <c r="AX2" s="17" t="s">
        <v>29</v>
      </c>
      <c r="AY2" s="26" t="s">
        <v>22</v>
      </c>
      <c r="AZ2" s="27"/>
      <c r="BA2" s="5" t="s">
        <v>8</v>
      </c>
      <c r="BB2" s="27" t="s">
        <v>22</v>
      </c>
      <c r="BC2" s="27"/>
      <c r="BD2" s="5" t="s">
        <v>8</v>
      </c>
      <c r="BE2" s="27" t="s">
        <v>22</v>
      </c>
      <c r="BF2" s="18" t="s">
        <v>5</v>
      </c>
      <c r="BG2" s="18" t="s">
        <v>30</v>
      </c>
      <c r="BH2" s="28" t="s">
        <v>22</v>
      </c>
      <c r="BI2" s="18" t="s">
        <v>5</v>
      </c>
      <c r="BJ2" s="18" t="s">
        <v>30</v>
      </c>
      <c r="BK2" s="28" t="s">
        <v>22</v>
      </c>
      <c r="BL2" s="19" t="s">
        <v>3</v>
      </c>
      <c r="BM2" s="19" t="s">
        <v>30</v>
      </c>
      <c r="BN2" s="29" t="s">
        <v>22</v>
      </c>
      <c r="BO2" s="19" t="s">
        <v>3</v>
      </c>
      <c r="BP2" s="19" t="s">
        <v>30</v>
      </c>
      <c r="BQ2" s="29" t="s">
        <v>22</v>
      </c>
      <c r="BR2" s="20" t="s">
        <v>31</v>
      </c>
      <c r="BS2" s="20" t="s">
        <v>30</v>
      </c>
      <c r="BT2" s="30" t="s">
        <v>22</v>
      </c>
      <c r="BU2" s="20" t="s">
        <v>31</v>
      </c>
      <c r="BV2" s="20" t="s">
        <v>30</v>
      </c>
      <c r="BW2" s="30" t="s">
        <v>22</v>
      </c>
      <c r="BX2" s="21" t="s">
        <v>22</v>
      </c>
      <c r="BY2" s="21" t="s">
        <v>29</v>
      </c>
      <c r="BZ2" s="21" t="s">
        <v>32</v>
      </c>
    </row>
    <row r="3" spans="1:78" ht="12.75">
      <c r="A3" s="1" t="s">
        <v>33</v>
      </c>
      <c r="B3" s="31">
        <f>1/((1/B19)+(1/B20))</f>
        <v>0.27564748839826153</v>
      </c>
      <c r="C3" s="32" t="s">
        <v>34</v>
      </c>
      <c r="D3" s="2" t="s">
        <v>35</v>
      </c>
      <c r="E3" s="33">
        <f>1/((1/E17)+(1/E18))</f>
        <v>801.3265348422667</v>
      </c>
      <c r="F3" s="34" t="s">
        <v>34</v>
      </c>
      <c r="G3" s="3"/>
      <c r="H3" s="35">
        <f>1/(((1/H31)+(1/H32)))</f>
        <v>0.5878847731036462</v>
      </c>
      <c r="I3" s="36" t="s">
        <v>34</v>
      </c>
      <c r="J3" s="37"/>
      <c r="K3" s="38">
        <f>1/((1/K16))</f>
        <v>6098.579782790309</v>
      </c>
      <c r="L3" s="37" t="s">
        <v>34</v>
      </c>
      <c r="M3" s="5"/>
      <c r="N3" s="39">
        <f>1/((1/N41)+(1/N42))</f>
        <v>25.36573192541324</v>
      </c>
      <c r="O3" s="27" t="s">
        <v>34</v>
      </c>
      <c r="P3" s="40"/>
      <c r="Q3" s="98">
        <f>1/((1/Q41)+(1/Q42))</f>
        <v>107.59258279449253</v>
      </c>
      <c r="R3" s="40" t="s">
        <v>34</v>
      </c>
      <c r="S3" s="22"/>
      <c r="T3" s="41">
        <f>1/((1/T26)+(1/T27))</f>
        <v>92.3135026267688</v>
      </c>
      <c r="U3" s="42" t="s">
        <v>34</v>
      </c>
      <c r="V3" s="22"/>
      <c r="W3" s="41">
        <f>1/((1/W26)+(1/W27))</f>
        <v>41.028225661342844</v>
      </c>
      <c r="X3" s="42" t="s">
        <v>34</v>
      </c>
      <c r="Y3" s="22"/>
      <c r="Z3" s="41">
        <f>1/((1/Z26)+(1/Z27))</f>
        <v>36.925403095208566</v>
      </c>
      <c r="AA3" s="42" t="s">
        <v>34</v>
      </c>
      <c r="AB3" s="43"/>
      <c r="AC3" s="43"/>
      <c r="AD3" s="43"/>
      <c r="AE3" s="44"/>
      <c r="AF3" s="44"/>
      <c r="AG3" s="44"/>
      <c r="AH3" s="45"/>
      <c r="AI3" s="45"/>
      <c r="AJ3" s="45"/>
      <c r="AK3" s="14"/>
      <c r="AL3" s="46">
        <f>1/((1/AL41)+(1/AL42))</f>
        <v>13.048030302370078</v>
      </c>
      <c r="AM3" s="47" t="s">
        <v>34</v>
      </c>
      <c r="AN3" s="48"/>
      <c r="AO3" s="48"/>
      <c r="AP3" s="48"/>
      <c r="AQ3" s="49"/>
      <c r="AR3" s="50"/>
      <c r="AS3" s="49"/>
      <c r="AT3" s="17" t="s">
        <v>36</v>
      </c>
      <c r="AU3" s="25">
        <f>(AU5*AU6*AU7)/((1-EXP(-AU7*AU6))*AU9*AU14*(AU8/365)*AU12*((AU13)+(AU15*AU10)))</f>
        <v>25.39504034153763</v>
      </c>
      <c r="AV3" s="26" t="s">
        <v>34</v>
      </c>
      <c r="AW3" s="17" t="s">
        <v>36</v>
      </c>
      <c r="AX3" s="25">
        <f>(AX5*AX6*AX7)/((1-EXP(-AX7*AX6))*AX9*AX14*(AX8/365)*AX12*((AX13)+(AX15*AX10)))</f>
        <v>29.95131322618068</v>
      </c>
      <c r="AY3" s="26" t="s">
        <v>34</v>
      </c>
      <c r="AZ3" s="5" t="s">
        <v>36</v>
      </c>
      <c r="BA3" s="39">
        <f>(BA5*BA6*BA7)/(BA9*(1-EXP(-BA7*BA6))*BA14*(BA8/365)*BA12*BA13/24*BA11)</f>
        <v>107.59258819478252</v>
      </c>
      <c r="BB3" s="27" t="s">
        <v>34</v>
      </c>
      <c r="BC3" s="5" t="s">
        <v>36</v>
      </c>
      <c r="BD3" s="39">
        <f>(BD5*BD6*BD7)/(BD9*(1-EXP(-BD7*BD6))*BD14*(BD8/365)*BD12*BD13/24*BD11)</f>
        <v>126.89640443557104</v>
      </c>
      <c r="BE3" s="27" t="s">
        <v>34</v>
      </c>
      <c r="BF3" s="18" t="s">
        <v>36</v>
      </c>
      <c r="BG3" s="51">
        <f>(BG5*BG6*BG7)/((1-EXP(-BG7*BG6))*BG9*BG14*(BG8/365)*BG12*(BG15/24)*BG10)</f>
        <v>92.31351114552345</v>
      </c>
      <c r="BH3" s="28" t="s">
        <v>34</v>
      </c>
      <c r="BI3" s="18" t="s">
        <v>36</v>
      </c>
      <c r="BJ3" s="51">
        <f>(BJ5*BJ6*BJ7)/((1-EXP(-BJ7*BJ6))*BJ9*BJ14*(BJ8/365)*BJ12*(BJ15/24)*BJ10)</f>
        <v>108.87601870848943</v>
      </c>
      <c r="BK3" s="28" t="s">
        <v>34</v>
      </c>
      <c r="BL3" s="19" t="s">
        <v>36</v>
      </c>
      <c r="BM3" s="52">
        <f>(BM5*BM6*BM7)/((1-EXP(-BM7*BM6))*BM9*BM14*(BM8/365)*BM12*(BM15/24)*BM11)</f>
        <v>41.028227175788196</v>
      </c>
      <c r="BN3" s="29" t="s">
        <v>34</v>
      </c>
      <c r="BO3" s="19" t="s">
        <v>36</v>
      </c>
      <c r="BP3" s="52">
        <f>(BP5*BP6*BP7)/((1-EXP(-BP7*BP6))*BP9*BP14*(BP8/365)*BP12*(BP15/24)*BP11)</f>
        <v>48.38934164821752</v>
      </c>
      <c r="BQ3" s="29" t="s">
        <v>34</v>
      </c>
      <c r="BR3" s="20"/>
      <c r="BS3" s="53">
        <f>(BS5*BS6*BS7)/((1-EXP(-BS7*BS6))*BS9*BS14*(BS8/365)*BS12*(BS15/24)*BS11)</f>
        <v>36.925404458209385</v>
      </c>
      <c r="BT3" s="30" t="s">
        <v>34</v>
      </c>
      <c r="BU3" s="20"/>
      <c r="BV3" s="53">
        <f>(BV5*BV6*BV7)/((1-EXP(-BV7*BV6))*BV9*BV14*(BV8/365)*BV12*(BV15/24)*BV11)</f>
        <v>43.55040748339577</v>
      </c>
      <c r="BW3" s="30" t="s">
        <v>34</v>
      </c>
      <c r="BX3" s="54">
        <f>(BY5*BY11*0.001*(BY12+(BY8/BY9)))*((BY10*BY7)/(1-EXP(-BY7*BY10)))</f>
        <v>2383.2000000000003</v>
      </c>
      <c r="BY3" s="55" t="s">
        <v>34</v>
      </c>
      <c r="BZ3" s="21" t="s">
        <v>37</v>
      </c>
    </row>
    <row r="4" spans="1:78" ht="12.75">
      <c r="A4" s="1" t="s">
        <v>35</v>
      </c>
      <c r="B4" s="31">
        <f>1/((1/B21)+(1/B22))</f>
        <v>547.4359119589475</v>
      </c>
      <c r="C4" s="32" t="s">
        <v>34</v>
      </c>
      <c r="D4" s="2" t="s">
        <v>33</v>
      </c>
      <c r="E4" s="33">
        <f>1/((1/E15)+(1/E16))</f>
        <v>0.48418521742735154</v>
      </c>
      <c r="F4" s="34" t="s">
        <v>34</v>
      </c>
      <c r="G4" s="3"/>
      <c r="H4" s="35"/>
      <c r="I4" s="36"/>
      <c r="J4" s="37"/>
      <c r="K4" s="37"/>
      <c r="L4" s="37"/>
      <c r="M4" s="5" t="s">
        <v>343</v>
      </c>
      <c r="N4" s="39" t="s">
        <v>29</v>
      </c>
      <c r="O4" s="27"/>
      <c r="P4" s="40"/>
      <c r="Q4" s="40"/>
      <c r="R4" s="40"/>
      <c r="S4" s="22" t="s">
        <v>343</v>
      </c>
      <c r="T4" s="41" t="s">
        <v>38</v>
      </c>
      <c r="U4" s="42"/>
      <c r="V4" s="22" t="s">
        <v>343</v>
      </c>
      <c r="W4" s="41" t="s">
        <v>39</v>
      </c>
      <c r="X4" s="42"/>
      <c r="Y4" s="22" t="s">
        <v>343</v>
      </c>
      <c r="Z4" s="41" t="s">
        <v>7</v>
      </c>
      <c r="AA4" s="42"/>
      <c r="AB4" s="10" t="s">
        <v>343</v>
      </c>
      <c r="AC4" s="43" t="s">
        <v>4</v>
      </c>
      <c r="AD4" s="43"/>
      <c r="AE4" s="11" t="s">
        <v>343</v>
      </c>
      <c r="AF4" s="44" t="s">
        <v>4</v>
      </c>
      <c r="AG4" s="44"/>
      <c r="AH4" s="45"/>
      <c r="AI4" s="45" t="s">
        <v>4</v>
      </c>
      <c r="AJ4" s="45"/>
      <c r="AK4" s="14" t="s">
        <v>343</v>
      </c>
      <c r="AL4" s="46" t="s">
        <v>40</v>
      </c>
      <c r="AM4" s="47"/>
      <c r="AN4" s="15" t="s">
        <v>343</v>
      </c>
      <c r="AO4" s="48"/>
      <c r="AP4" s="48"/>
      <c r="AQ4" s="16" t="s">
        <v>343</v>
      </c>
      <c r="AR4" s="49" t="s">
        <v>40</v>
      </c>
      <c r="AS4" s="49"/>
      <c r="AT4" s="17" t="s">
        <v>41</v>
      </c>
      <c r="AU4" s="25"/>
      <c r="AV4" s="26"/>
      <c r="AW4" s="17" t="s">
        <v>41</v>
      </c>
      <c r="AX4" s="25"/>
      <c r="AY4" s="26"/>
      <c r="AZ4" s="5" t="s">
        <v>41</v>
      </c>
      <c r="BA4" s="27"/>
      <c r="BB4" s="27"/>
      <c r="BC4" s="5" t="s">
        <v>41</v>
      </c>
      <c r="BD4" s="27"/>
      <c r="BE4" s="27"/>
      <c r="BF4" s="18" t="s">
        <v>41</v>
      </c>
      <c r="BG4" s="51"/>
      <c r="BH4" s="28"/>
      <c r="BI4" s="18" t="s">
        <v>41</v>
      </c>
      <c r="BJ4" s="51"/>
      <c r="BK4" s="28"/>
      <c r="BL4" s="19" t="s">
        <v>41</v>
      </c>
      <c r="BM4" s="52"/>
      <c r="BN4" s="29"/>
      <c r="BO4" s="19" t="s">
        <v>41</v>
      </c>
      <c r="BP4" s="52"/>
      <c r="BQ4" s="29"/>
      <c r="BR4" s="20" t="s">
        <v>41</v>
      </c>
      <c r="BS4" s="56"/>
      <c r="BT4" s="30"/>
      <c r="BU4" s="20" t="s">
        <v>41</v>
      </c>
      <c r="BV4" s="56"/>
      <c r="BW4" s="30"/>
      <c r="BX4" s="54">
        <f>(BY6*BY11*10^-3*(BY12+(BY8/BY9)))*((BY10*BY7)/(1-EXP(-BY7*BY10)))</f>
        <v>4.670156637535366</v>
      </c>
      <c r="BY4" s="55" t="s">
        <v>34</v>
      </c>
      <c r="BZ4" s="21" t="s">
        <v>42</v>
      </c>
    </row>
    <row r="5" spans="1:78" ht="12.75">
      <c r="A5" t="s">
        <v>43</v>
      </c>
      <c r="B5" s="57">
        <v>1E-06</v>
      </c>
      <c r="D5" t="s">
        <v>43</v>
      </c>
      <c r="E5" s="57">
        <v>1E-06</v>
      </c>
      <c r="G5" s="58" t="s">
        <v>43</v>
      </c>
      <c r="H5" s="57">
        <v>1E-06</v>
      </c>
      <c r="J5" s="58" t="s">
        <v>43</v>
      </c>
      <c r="K5" s="57">
        <v>1E-06</v>
      </c>
      <c r="M5" s="58" t="s">
        <v>43</v>
      </c>
      <c r="N5" s="57">
        <v>1E-06</v>
      </c>
      <c r="P5" s="58" t="s">
        <v>43</v>
      </c>
      <c r="Q5" s="57">
        <v>1E-06</v>
      </c>
      <c r="S5" s="58" t="s">
        <v>43</v>
      </c>
      <c r="T5" s="57">
        <v>1E-06</v>
      </c>
      <c r="V5" s="58" t="s">
        <v>43</v>
      </c>
      <c r="W5" s="57">
        <v>1E-06</v>
      </c>
      <c r="Y5" s="58" t="s">
        <v>43</v>
      </c>
      <c r="Z5" s="57">
        <v>1E-06</v>
      </c>
      <c r="AB5" s="58" t="s">
        <v>43</v>
      </c>
      <c r="AC5" s="57">
        <v>1E-06</v>
      </c>
      <c r="AE5" t="s">
        <v>44</v>
      </c>
      <c r="AF5" s="57"/>
      <c r="AH5" t="s">
        <v>44</v>
      </c>
      <c r="AI5" s="57">
        <f>AF5</f>
        <v>0</v>
      </c>
      <c r="AK5" s="58" t="s">
        <v>43</v>
      </c>
      <c r="AL5" s="57">
        <v>1E-06</v>
      </c>
      <c r="AM5" s="59"/>
      <c r="AN5" s="58" t="s">
        <v>43</v>
      </c>
      <c r="AO5" s="57">
        <v>1E-06</v>
      </c>
      <c r="AP5" s="59"/>
      <c r="AQ5" s="58" t="s">
        <v>43</v>
      </c>
      <c r="AR5" s="57">
        <v>1E-06</v>
      </c>
      <c r="AS5" s="59"/>
      <c r="AT5" t="s">
        <v>43</v>
      </c>
      <c r="AU5" s="57">
        <v>1E-06</v>
      </c>
      <c r="AW5" t="s">
        <v>43</v>
      </c>
      <c r="AX5" s="57">
        <v>1E-06</v>
      </c>
      <c r="AZ5" t="s">
        <v>43</v>
      </c>
      <c r="BA5" s="57">
        <v>1E-06</v>
      </c>
      <c r="BC5" t="s">
        <v>43</v>
      </c>
      <c r="BD5" s="57">
        <v>1E-06</v>
      </c>
      <c r="BF5" t="s">
        <v>43</v>
      </c>
      <c r="BG5" s="57">
        <v>1E-06</v>
      </c>
      <c r="BI5" t="s">
        <v>43</v>
      </c>
      <c r="BJ5" s="57">
        <v>1E-06</v>
      </c>
      <c r="BL5" t="s">
        <v>43</v>
      </c>
      <c r="BM5" s="57">
        <v>1E-06</v>
      </c>
      <c r="BO5" t="s">
        <v>43</v>
      </c>
      <c r="BP5" s="57">
        <v>1E-06</v>
      </c>
      <c r="BR5" t="s">
        <v>43</v>
      </c>
      <c r="BS5" s="57">
        <v>1E-06</v>
      </c>
      <c r="BU5" t="s">
        <v>43</v>
      </c>
      <c r="BV5" s="57">
        <v>1E-06</v>
      </c>
      <c r="BX5" s="60" t="s">
        <v>45</v>
      </c>
      <c r="BY5" s="68">
        <f>300</f>
        <v>300</v>
      </c>
      <c r="BZ5" s="62" t="s">
        <v>19</v>
      </c>
    </row>
    <row r="6" spans="1:84" ht="12.75">
      <c r="A6" s="58" t="s">
        <v>46</v>
      </c>
      <c r="B6" s="57">
        <f>66.2</f>
        <v>66.2</v>
      </c>
      <c r="D6" s="58" t="s">
        <v>46</v>
      </c>
      <c r="E6" s="57">
        <f>B6</f>
        <v>66.2</v>
      </c>
      <c r="G6" s="58" t="s">
        <v>47</v>
      </c>
      <c r="H6" s="63">
        <v>350</v>
      </c>
      <c r="I6" s="58" t="s">
        <v>48</v>
      </c>
      <c r="J6" s="58" t="s">
        <v>47</v>
      </c>
      <c r="K6" s="63">
        <v>350</v>
      </c>
      <c r="L6" s="58" t="s">
        <v>48</v>
      </c>
      <c r="M6" s="64"/>
      <c r="N6" s="65">
        <v>1000</v>
      </c>
      <c r="O6" t="s">
        <v>49</v>
      </c>
      <c r="S6" s="64"/>
      <c r="T6" s="65">
        <v>1000</v>
      </c>
      <c r="U6" t="s">
        <v>49</v>
      </c>
      <c r="V6" s="64"/>
      <c r="W6" s="65">
        <v>1000</v>
      </c>
      <c r="X6" t="s">
        <v>49</v>
      </c>
      <c r="Y6" s="64"/>
      <c r="Z6" s="65">
        <v>1000</v>
      </c>
      <c r="AA6" t="s">
        <v>49</v>
      </c>
      <c r="AB6" t="s">
        <v>50</v>
      </c>
      <c r="AC6">
        <v>30</v>
      </c>
      <c r="AE6" t="s">
        <v>51</v>
      </c>
      <c r="AF6" s="57"/>
      <c r="AH6" t="s">
        <v>51</v>
      </c>
      <c r="AI6" s="57">
        <f>AF6</f>
        <v>0</v>
      </c>
      <c r="AK6" s="66"/>
      <c r="AL6" s="67">
        <f>1/1000</f>
        <v>0.001</v>
      </c>
      <c r="AM6" s="59" t="s">
        <v>49</v>
      </c>
      <c r="AN6" s="59"/>
      <c r="AO6" s="59"/>
      <c r="AP6" s="59"/>
      <c r="AQ6" s="59"/>
      <c r="AR6" s="59"/>
      <c r="AS6" s="59"/>
      <c r="AT6" t="s">
        <v>52</v>
      </c>
      <c r="AU6">
        <v>30</v>
      </c>
      <c r="AV6" t="s">
        <v>53</v>
      </c>
      <c r="AW6" t="s">
        <v>52</v>
      </c>
      <c r="AX6">
        <v>30</v>
      </c>
      <c r="AY6" t="s">
        <v>53</v>
      </c>
      <c r="AZ6" t="s">
        <v>52</v>
      </c>
      <c r="BA6">
        <v>30</v>
      </c>
      <c r="BB6" t="s">
        <v>53</v>
      </c>
      <c r="BC6" t="s">
        <v>52</v>
      </c>
      <c r="BD6">
        <v>30</v>
      </c>
      <c r="BE6" t="s">
        <v>53</v>
      </c>
      <c r="BF6" t="s">
        <v>52</v>
      </c>
      <c r="BG6">
        <v>25</v>
      </c>
      <c r="BH6" t="s">
        <v>53</v>
      </c>
      <c r="BI6" t="s">
        <v>52</v>
      </c>
      <c r="BJ6">
        <v>25</v>
      </c>
      <c r="BK6" t="s">
        <v>53</v>
      </c>
      <c r="BL6" t="s">
        <v>52</v>
      </c>
      <c r="BM6">
        <v>25</v>
      </c>
      <c r="BN6" t="s">
        <v>53</v>
      </c>
      <c r="BO6" t="s">
        <v>52</v>
      </c>
      <c r="BP6">
        <v>25</v>
      </c>
      <c r="BQ6" t="s">
        <v>53</v>
      </c>
      <c r="BR6" t="s">
        <v>52</v>
      </c>
      <c r="BS6">
        <v>25</v>
      </c>
      <c r="BT6" t="s">
        <v>53</v>
      </c>
      <c r="BU6" t="s">
        <v>52</v>
      </c>
      <c r="BV6">
        <v>25</v>
      </c>
      <c r="BW6" t="s">
        <v>53</v>
      </c>
      <c r="BX6" s="61" t="s">
        <v>14</v>
      </c>
      <c r="BY6" s="68">
        <f>H3</f>
        <v>0.5878847731036462</v>
      </c>
      <c r="BZ6" s="62" t="s">
        <v>19</v>
      </c>
      <c r="CF6" s="57"/>
    </row>
    <row r="7" spans="1:78" ht="12.75">
      <c r="A7" t="s">
        <v>47</v>
      </c>
      <c r="B7">
        <v>350</v>
      </c>
      <c r="C7" t="s">
        <v>54</v>
      </c>
      <c r="D7" t="s">
        <v>47</v>
      </c>
      <c r="E7">
        <v>225</v>
      </c>
      <c r="F7" t="s">
        <v>54</v>
      </c>
      <c r="G7" s="58" t="s">
        <v>55</v>
      </c>
      <c r="H7" s="57"/>
      <c r="I7" s="58" t="s">
        <v>56</v>
      </c>
      <c r="J7" s="58" t="s">
        <v>57</v>
      </c>
      <c r="K7" s="69">
        <f>0.0000000000171</f>
        <v>1.7099999999999998E-11</v>
      </c>
      <c r="L7" s="58"/>
      <c r="M7" s="58" t="s">
        <v>58</v>
      </c>
      <c r="N7" s="70"/>
      <c r="O7" s="58" t="s">
        <v>56</v>
      </c>
      <c r="P7" s="58"/>
      <c r="Q7" s="58"/>
      <c r="R7" s="58"/>
      <c r="S7" s="58" t="s">
        <v>59</v>
      </c>
      <c r="T7" s="63">
        <v>250</v>
      </c>
      <c r="U7" s="58" t="s">
        <v>48</v>
      </c>
      <c r="V7" s="58" t="s">
        <v>60</v>
      </c>
      <c r="W7" s="63">
        <v>225</v>
      </c>
      <c r="X7" s="58" t="s">
        <v>48</v>
      </c>
      <c r="Y7" s="58" t="s">
        <v>61</v>
      </c>
      <c r="Z7" s="63">
        <v>250</v>
      </c>
      <c r="AA7" s="58" t="s">
        <v>48</v>
      </c>
      <c r="AB7" s="58" t="s">
        <v>47</v>
      </c>
      <c r="AC7" s="58">
        <v>350</v>
      </c>
      <c r="AD7" s="58"/>
      <c r="AE7" t="s">
        <v>62</v>
      </c>
      <c r="AF7">
        <v>1</v>
      </c>
      <c r="AG7" s="58"/>
      <c r="AH7" s="58" t="s">
        <v>63</v>
      </c>
      <c r="AI7" s="58">
        <v>1</v>
      </c>
      <c r="AJ7" s="58"/>
      <c r="AK7" s="58" t="s">
        <v>58</v>
      </c>
      <c r="AL7" s="71">
        <f>N7</f>
        <v>0</v>
      </c>
      <c r="AM7" s="58" t="s">
        <v>56</v>
      </c>
      <c r="AN7" s="58" t="s">
        <v>58</v>
      </c>
      <c r="AO7" s="71"/>
      <c r="AP7" s="58" t="s">
        <v>56</v>
      </c>
      <c r="AQ7" s="58" t="s">
        <v>58</v>
      </c>
      <c r="AR7" s="71">
        <f>AL7</f>
        <v>0</v>
      </c>
      <c r="AS7" s="58" t="s">
        <v>56</v>
      </c>
      <c r="AT7" t="s">
        <v>46</v>
      </c>
      <c r="AU7" s="70">
        <f>B6</f>
        <v>66.2</v>
      </c>
      <c r="AW7" t="s">
        <v>46</v>
      </c>
      <c r="AX7" s="70">
        <f>AU7</f>
        <v>66.2</v>
      </c>
      <c r="AZ7" t="s">
        <v>46</v>
      </c>
      <c r="BA7" s="70">
        <f>AU7</f>
        <v>66.2</v>
      </c>
      <c r="BC7" t="s">
        <v>46</v>
      </c>
      <c r="BD7" s="70">
        <f>BA7</f>
        <v>66.2</v>
      </c>
      <c r="BF7" t="s">
        <v>46</v>
      </c>
      <c r="BG7" s="70">
        <f>AU7</f>
        <v>66.2</v>
      </c>
      <c r="BI7" t="s">
        <v>46</v>
      </c>
      <c r="BJ7" s="70">
        <f>BG7</f>
        <v>66.2</v>
      </c>
      <c r="BL7" t="s">
        <v>46</v>
      </c>
      <c r="BM7" s="70">
        <f>BG7</f>
        <v>66.2</v>
      </c>
      <c r="BO7" t="s">
        <v>46</v>
      </c>
      <c r="BP7" s="70">
        <f>BM7</f>
        <v>66.2</v>
      </c>
      <c r="BR7" s="61" t="s">
        <v>46</v>
      </c>
      <c r="BS7" s="68">
        <f>BM7</f>
        <v>66.2</v>
      </c>
      <c r="BT7" s="61"/>
      <c r="BU7" s="61" t="s">
        <v>46</v>
      </c>
      <c r="BV7" s="68">
        <f>BS7</f>
        <v>66.2</v>
      </c>
      <c r="BW7" s="61"/>
      <c r="BX7" s="61" t="s">
        <v>46</v>
      </c>
      <c r="BY7" s="68">
        <f>66.2</f>
        <v>66.2</v>
      </c>
      <c r="BZ7" s="61"/>
    </row>
    <row r="8" spans="1:78" ht="12.75">
      <c r="A8" t="s">
        <v>50</v>
      </c>
      <c r="B8">
        <v>30</v>
      </c>
      <c r="C8" t="s">
        <v>53</v>
      </c>
      <c r="D8" t="s">
        <v>50</v>
      </c>
      <c r="E8">
        <v>25</v>
      </c>
      <c r="F8" t="s">
        <v>53</v>
      </c>
      <c r="G8" s="58" t="s">
        <v>64</v>
      </c>
      <c r="H8" s="65">
        <f>(H9*H10+H15*H12)/H11</f>
        <v>1.8</v>
      </c>
      <c r="I8" s="58" t="s">
        <v>65</v>
      </c>
      <c r="J8" s="58" t="s">
        <v>66</v>
      </c>
      <c r="K8" s="69"/>
      <c r="L8" s="58"/>
      <c r="M8" s="58" t="s">
        <v>47</v>
      </c>
      <c r="N8" s="63">
        <v>350</v>
      </c>
      <c r="O8" s="58" t="s">
        <v>48</v>
      </c>
      <c r="P8" s="58" t="s">
        <v>67</v>
      </c>
      <c r="Q8" s="58">
        <v>350</v>
      </c>
      <c r="R8" s="58"/>
      <c r="S8" s="58" t="s">
        <v>68</v>
      </c>
      <c r="T8" s="57"/>
      <c r="U8" t="s">
        <v>56</v>
      </c>
      <c r="V8" t="s">
        <v>68</v>
      </c>
      <c r="W8" s="57">
        <f>T8</f>
        <v>0</v>
      </c>
      <c r="X8" t="s">
        <v>56</v>
      </c>
      <c r="Y8" t="s">
        <v>68</v>
      </c>
      <c r="Z8" s="57">
        <f>W8</f>
        <v>0</v>
      </c>
      <c r="AA8" s="58" t="s">
        <v>56</v>
      </c>
      <c r="AB8" s="58" t="s">
        <v>58</v>
      </c>
      <c r="AC8" s="69">
        <f>AL7</f>
        <v>0</v>
      </c>
      <c r="AD8" s="58"/>
      <c r="AE8" t="s">
        <v>69</v>
      </c>
      <c r="AF8" s="58">
        <v>1</v>
      </c>
      <c r="AG8" s="58"/>
      <c r="AH8" s="58" t="s">
        <v>70</v>
      </c>
      <c r="AI8" s="58">
        <v>1</v>
      </c>
      <c r="AJ8" s="58"/>
      <c r="AK8" s="72" t="s">
        <v>71</v>
      </c>
      <c r="AL8" s="73">
        <v>350</v>
      </c>
      <c r="AM8" s="72" t="s">
        <v>48</v>
      </c>
      <c r="AN8" s="72" t="s">
        <v>72</v>
      </c>
      <c r="AO8" s="73">
        <v>350</v>
      </c>
      <c r="AP8" s="72" t="s">
        <v>48</v>
      </c>
      <c r="AQ8" s="72" t="s">
        <v>72</v>
      </c>
      <c r="AR8" s="73">
        <v>350</v>
      </c>
      <c r="AS8" s="72" t="s">
        <v>48</v>
      </c>
      <c r="AT8" t="s">
        <v>47</v>
      </c>
      <c r="AU8">
        <v>350</v>
      </c>
      <c r="AV8" t="s">
        <v>54</v>
      </c>
      <c r="AW8" t="s">
        <v>47</v>
      </c>
      <c r="AX8">
        <v>350</v>
      </c>
      <c r="AY8" t="s">
        <v>54</v>
      </c>
      <c r="AZ8" t="s">
        <v>47</v>
      </c>
      <c r="BA8">
        <v>350</v>
      </c>
      <c r="BB8" t="s">
        <v>54</v>
      </c>
      <c r="BC8" t="s">
        <v>47</v>
      </c>
      <c r="BD8">
        <v>350</v>
      </c>
      <c r="BE8" t="s">
        <v>54</v>
      </c>
      <c r="BF8" t="s">
        <v>47</v>
      </c>
      <c r="BG8">
        <v>250</v>
      </c>
      <c r="BH8" t="s">
        <v>54</v>
      </c>
      <c r="BI8" t="s">
        <v>47</v>
      </c>
      <c r="BJ8">
        <v>250</v>
      </c>
      <c r="BK8" t="s">
        <v>54</v>
      </c>
      <c r="BL8" t="s">
        <v>47</v>
      </c>
      <c r="BM8">
        <v>225</v>
      </c>
      <c r="BN8" t="s">
        <v>54</v>
      </c>
      <c r="BO8" t="s">
        <v>47</v>
      </c>
      <c r="BP8">
        <v>225</v>
      </c>
      <c r="BQ8" t="s">
        <v>54</v>
      </c>
      <c r="BR8" s="61" t="s">
        <v>47</v>
      </c>
      <c r="BS8" s="61">
        <v>250</v>
      </c>
      <c r="BT8" s="61" t="s">
        <v>54</v>
      </c>
      <c r="BU8" s="61" t="s">
        <v>47</v>
      </c>
      <c r="BV8" s="61">
        <v>250</v>
      </c>
      <c r="BW8" s="61" t="s">
        <v>54</v>
      </c>
      <c r="BX8" s="61" t="s">
        <v>73</v>
      </c>
      <c r="BY8" s="61">
        <v>0.30000000000000004</v>
      </c>
      <c r="BZ8" s="61"/>
    </row>
    <row r="9" spans="1:78" ht="12.75">
      <c r="A9" t="s">
        <v>74</v>
      </c>
      <c r="B9" s="70">
        <f>0.000000000018</f>
        <v>1.8E-11</v>
      </c>
      <c r="C9" s="74" t="s">
        <v>56</v>
      </c>
      <c r="D9" t="s">
        <v>74</v>
      </c>
      <c r="E9" s="70">
        <f>B9</f>
        <v>1.8E-11</v>
      </c>
      <c r="F9" s="74" t="s">
        <v>56</v>
      </c>
      <c r="G9" s="58" t="s">
        <v>75</v>
      </c>
      <c r="H9" s="65">
        <f>6</f>
        <v>6</v>
      </c>
      <c r="I9" t="s">
        <v>76</v>
      </c>
      <c r="J9" t="s">
        <v>77</v>
      </c>
      <c r="K9">
        <v>1</v>
      </c>
      <c r="M9" s="58" t="s">
        <v>68</v>
      </c>
      <c r="N9" s="57"/>
      <c r="O9" s="58" t="s">
        <v>56</v>
      </c>
      <c r="P9" s="58" t="s">
        <v>68</v>
      </c>
      <c r="Q9" s="69">
        <f>N9</f>
        <v>0</v>
      </c>
      <c r="R9" s="58"/>
      <c r="S9" s="58" t="s">
        <v>50</v>
      </c>
      <c r="T9">
        <v>25</v>
      </c>
      <c r="U9" s="58" t="s">
        <v>78</v>
      </c>
      <c r="V9" s="58" t="s">
        <v>50</v>
      </c>
      <c r="W9">
        <v>25</v>
      </c>
      <c r="X9" s="58" t="s">
        <v>78</v>
      </c>
      <c r="Y9" s="58" t="s">
        <v>50</v>
      </c>
      <c r="Z9">
        <v>25</v>
      </c>
      <c r="AA9" s="58" t="s">
        <v>78</v>
      </c>
      <c r="AB9" s="58" t="s">
        <v>79</v>
      </c>
      <c r="AC9" s="58">
        <v>1</v>
      </c>
      <c r="AD9" s="58"/>
      <c r="AE9" t="s">
        <v>80</v>
      </c>
      <c r="AF9" s="58">
        <v>1</v>
      </c>
      <c r="AG9" s="58"/>
      <c r="AH9" s="58"/>
      <c r="AI9" s="58"/>
      <c r="AJ9" s="58"/>
      <c r="AK9" s="58" t="s">
        <v>68</v>
      </c>
      <c r="AL9" s="71">
        <f>N9</f>
        <v>0</v>
      </c>
      <c r="AM9" s="58" t="s">
        <v>56</v>
      </c>
      <c r="AN9" s="58" t="s">
        <v>68</v>
      </c>
      <c r="AO9" s="71">
        <f>AL9</f>
        <v>0</v>
      </c>
      <c r="AP9" s="58" t="s">
        <v>56</v>
      </c>
      <c r="AQ9" s="58" t="s">
        <v>68</v>
      </c>
      <c r="AR9" s="71">
        <f>AO9</f>
        <v>0</v>
      </c>
      <c r="AS9" s="58" t="s">
        <v>56</v>
      </c>
      <c r="AT9" t="s">
        <v>50</v>
      </c>
      <c r="AU9">
        <v>30</v>
      </c>
      <c r="AV9" t="s">
        <v>53</v>
      </c>
      <c r="AW9" t="s">
        <v>50</v>
      </c>
      <c r="AX9">
        <v>30</v>
      </c>
      <c r="AY9" t="s">
        <v>53</v>
      </c>
      <c r="AZ9" t="s">
        <v>50</v>
      </c>
      <c r="BA9">
        <v>30</v>
      </c>
      <c r="BB9" t="s">
        <v>53</v>
      </c>
      <c r="BC9" t="s">
        <v>50</v>
      </c>
      <c r="BD9">
        <v>30</v>
      </c>
      <c r="BE9" t="s">
        <v>53</v>
      </c>
      <c r="BF9" t="s">
        <v>50</v>
      </c>
      <c r="BG9">
        <v>25</v>
      </c>
      <c r="BH9" t="s">
        <v>53</v>
      </c>
      <c r="BI9" t="s">
        <v>50</v>
      </c>
      <c r="BJ9">
        <v>25</v>
      </c>
      <c r="BK9" t="s">
        <v>53</v>
      </c>
      <c r="BL9" t="s">
        <v>50</v>
      </c>
      <c r="BM9">
        <v>25</v>
      </c>
      <c r="BN9" t="s">
        <v>53</v>
      </c>
      <c r="BO9" t="s">
        <v>50</v>
      </c>
      <c r="BP9">
        <v>25</v>
      </c>
      <c r="BQ9" t="s">
        <v>53</v>
      </c>
      <c r="BR9" t="s">
        <v>50</v>
      </c>
      <c r="BS9">
        <v>25</v>
      </c>
      <c r="BT9" t="s">
        <v>53</v>
      </c>
      <c r="BU9" t="s">
        <v>50</v>
      </c>
      <c r="BV9">
        <v>25</v>
      </c>
      <c r="BW9" t="s">
        <v>53</v>
      </c>
      <c r="BX9" s="61" t="s">
        <v>81</v>
      </c>
      <c r="BY9" s="68">
        <v>1.5</v>
      </c>
      <c r="BZ9" s="61"/>
    </row>
    <row r="10" spans="1:78" ht="12.75">
      <c r="A10" s="58" t="s">
        <v>82</v>
      </c>
      <c r="B10" s="65">
        <f>(B11*B15+B12*B16)/(B15+B16)</f>
        <v>18</v>
      </c>
      <c r="C10" t="s">
        <v>83</v>
      </c>
      <c r="D10" t="s">
        <v>84</v>
      </c>
      <c r="E10" s="63">
        <v>8</v>
      </c>
      <c r="F10" s="74" t="s">
        <v>85</v>
      </c>
      <c r="G10" s="58" t="s">
        <v>86</v>
      </c>
      <c r="H10" s="65">
        <v>1</v>
      </c>
      <c r="J10" t="s">
        <v>87</v>
      </c>
      <c r="K10">
        <v>8</v>
      </c>
      <c r="M10" s="58" t="s">
        <v>88</v>
      </c>
      <c r="N10" s="65">
        <f>(N13*N12+N16*N15)/(N12+N15)</f>
        <v>120</v>
      </c>
      <c r="O10" s="58" t="s">
        <v>89</v>
      </c>
      <c r="P10" s="58" t="s">
        <v>90</v>
      </c>
      <c r="Q10" s="69">
        <f>N23</f>
        <v>8.48E-06</v>
      </c>
      <c r="R10" s="58"/>
      <c r="S10" s="58" t="s">
        <v>91</v>
      </c>
      <c r="T10" s="65">
        <v>50</v>
      </c>
      <c r="V10" s="58" t="s">
        <v>92</v>
      </c>
      <c r="W10" s="65">
        <v>100</v>
      </c>
      <c r="Y10" s="58" t="s">
        <v>93</v>
      </c>
      <c r="Z10" s="65">
        <v>100</v>
      </c>
      <c r="AB10" t="s">
        <v>94</v>
      </c>
      <c r="AC10">
        <v>1</v>
      </c>
      <c r="AE10" s="58" t="s">
        <v>95</v>
      </c>
      <c r="AF10" s="58">
        <v>1</v>
      </c>
      <c r="AH10" t="s">
        <v>96</v>
      </c>
      <c r="AI10" s="57"/>
      <c r="AJ10" s="106" t="s">
        <v>34</v>
      </c>
      <c r="AK10" s="72" t="s">
        <v>97</v>
      </c>
      <c r="AL10" s="59">
        <f>(AL13*AL12+AL16*AL15)/(AL11)</f>
        <v>115</v>
      </c>
      <c r="AM10" s="72" t="s">
        <v>89</v>
      </c>
      <c r="AN10" s="72" t="s">
        <v>97</v>
      </c>
      <c r="AO10" s="59">
        <f>(AO13*AO12+AO16*AO15)/(AO11)</f>
        <v>115</v>
      </c>
      <c r="AP10" s="72" t="s">
        <v>89</v>
      </c>
      <c r="AQ10" s="72" t="s">
        <v>97</v>
      </c>
      <c r="AR10" s="59">
        <f>(AR13*AR12+AR16*AR15)/(AR11)</f>
        <v>115</v>
      </c>
      <c r="AS10" s="72" t="s">
        <v>89</v>
      </c>
      <c r="AT10" t="s">
        <v>98</v>
      </c>
      <c r="AU10">
        <v>0.4</v>
      </c>
      <c r="AW10" t="s">
        <v>98</v>
      </c>
      <c r="AX10">
        <v>0.4</v>
      </c>
      <c r="AZ10" t="s">
        <v>98</v>
      </c>
      <c r="BA10">
        <v>0.4</v>
      </c>
      <c r="BC10" t="s">
        <v>98</v>
      </c>
      <c r="BD10">
        <v>0.4</v>
      </c>
      <c r="BF10" t="s">
        <v>98</v>
      </c>
      <c r="BG10">
        <v>0.4</v>
      </c>
      <c r="BI10" t="s">
        <v>98</v>
      </c>
      <c r="BJ10">
        <v>0.4</v>
      </c>
      <c r="BL10" t="s">
        <v>98</v>
      </c>
      <c r="BM10">
        <v>0.4</v>
      </c>
      <c r="BO10" t="s">
        <v>98</v>
      </c>
      <c r="BP10">
        <v>0.4</v>
      </c>
      <c r="BR10" s="61"/>
      <c r="BS10" s="61"/>
      <c r="BT10" s="61"/>
      <c r="BU10" s="61"/>
      <c r="BV10" s="61"/>
      <c r="BW10" s="61"/>
      <c r="BX10" s="61" t="s">
        <v>99</v>
      </c>
      <c r="BY10" s="61">
        <v>30</v>
      </c>
      <c r="BZ10" s="61"/>
    </row>
    <row r="11" spans="1:78" ht="12.75">
      <c r="A11" s="58" t="s">
        <v>100</v>
      </c>
      <c r="B11" s="75">
        <v>10</v>
      </c>
      <c r="C11" s="75" t="s">
        <v>83</v>
      </c>
      <c r="E11" s="63">
        <v>24</v>
      </c>
      <c r="F11" s="74" t="s">
        <v>85</v>
      </c>
      <c r="G11" s="58" t="s">
        <v>101</v>
      </c>
      <c r="H11" s="65">
        <f>B8</f>
        <v>30</v>
      </c>
      <c r="I11" t="s">
        <v>76</v>
      </c>
      <c r="J11" t="s">
        <v>47</v>
      </c>
      <c r="K11">
        <v>350</v>
      </c>
      <c r="M11" s="58" t="s">
        <v>50</v>
      </c>
      <c r="N11" s="65">
        <v>30</v>
      </c>
      <c r="O11" s="58" t="s">
        <v>78</v>
      </c>
      <c r="P11" s="58" t="s">
        <v>74</v>
      </c>
      <c r="Q11" s="69">
        <f>N25</f>
        <v>1.8E-11</v>
      </c>
      <c r="R11" s="58"/>
      <c r="S11" s="58" t="s">
        <v>102</v>
      </c>
      <c r="T11" s="75">
        <v>60</v>
      </c>
      <c r="U11" s="75" t="s">
        <v>83</v>
      </c>
      <c r="V11" s="58" t="s">
        <v>102</v>
      </c>
      <c r="W11" s="75">
        <v>60</v>
      </c>
      <c r="X11" s="75" t="s">
        <v>83</v>
      </c>
      <c r="Y11" s="58" t="s">
        <v>102</v>
      </c>
      <c r="Z11" s="75">
        <v>60</v>
      </c>
      <c r="AA11" s="75" t="s">
        <v>83</v>
      </c>
      <c r="AB11" s="75"/>
      <c r="AC11" s="75"/>
      <c r="AD11" s="75"/>
      <c r="AE11" t="s">
        <v>103</v>
      </c>
      <c r="AF11">
        <v>1</v>
      </c>
      <c r="AG11" s="75"/>
      <c r="AH11" s="75" t="s">
        <v>104</v>
      </c>
      <c r="AI11" s="76"/>
      <c r="AJ11" s="108" t="s">
        <v>34</v>
      </c>
      <c r="AK11" s="72" t="s">
        <v>105</v>
      </c>
      <c r="AL11" s="59">
        <v>40</v>
      </c>
      <c r="AM11" s="72" t="s">
        <v>78</v>
      </c>
      <c r="AN11" s="72" t="s">
        <v>105</v>
      </c>
      <c r="AO11" s="59">
        <v>40</v>
      </c>
      <c r="AP11" s="72" t="s">
        <v>78</v>
      </c>
      <c r="AQ11" s="72" t="s">
        <v>105</v>
      </c>
      <c r="AR11" s="59">
        <v>40</v>
      </c>
      <c r="AS11" s="72" t="s">
        <v>78</v>
      </c>
      <c r="AT11" t="s">
        <v>106</v>
      </c>
      <c r="AU11">
        <v>1</v>
      </c>
      <c r="AW11" t="s">
        <v>106</v>
      </c>
      <c r="AX11">
        <v>1</v>
      </c>
      <c r="AZ11" t="s">
        <v>106</v>
      </c>
      <c r="BA11">
        <v>1</v>
      </c>
      <c r="BC11" t="s">
        <v>106</v>
      </c>
      <c r="BD11">
        <v>1</v>
      </c>
      <c r="BF11" t="s">
        <v>106</v>
      </c>
      <c r="BG11">
        <v>1</v>
      </c>
      <c r="BI11" t="s">
        <v>106</v>
      </c>
      <c r="BJ11">
        <v>1</v>
      </c>
      <c r="BL11" t="s">
        <v>106</v>
      </c>
      <c r="BM11">
        <v>1</v>
      </c>
      <c r="BO11" t="s">
        <v>106</v>
      </c>
      <c r="BP11">
        <v>1</v>
      </c>
      <c r="BR11" s="61" t="s">
        <v>106</v>
      </c>
      <c r="BS11" s="61">
        <v>1</v>
      </c>
      <c r="BT11" s="61"/>
      <c r="BU11" s="61" t="s">
        <v>106</v>
      </c>
      <c r="BV11" s="61">
        <v>1</v>
      </c>
      <c r="BW11" s="61"/>
      <c r="BX11" s="61" t="s">
        <v>107</v>
      </c>
      <c r="BY11" s="68">
        <v>20</v>
      </c>
      <c r="BZ11" s="61"/>
    </row>
    <row r="12" spans="1:78" ht="12.75">
      <c r="A12" s="58" t="s">
        <v>108</v>
      </c>
      <c r="B12" s="75">
        <v>20</v>
      </c>
      <c r="C12" s="75" t="s">
        <v>83</v>
      </c>
      <c r="D12" t="s">
        <v>109</v>
      </c>
      <c r="E12" s="57">
        <v>60</v>
      </c>
      <c r="F12" s="74" t="s">
        <v>83</v>
      </c>
      <c r="G12" s="58" t="s">
        <v>110</v>
      </c>
      <c r="H12" s="65">
        <v>2</v>
      </c>
      <c r="J12" t="s">
        <v>50</v>
      </c>
      <c r="K12">
        <v>30</v>
      </c>
      <c r="M12" s="58" t="s">
        <v>111</v>
      </c>
      <c r="N12" s="65">
        <v>6</v>
      </c>
      <c r="P12" t="s">
        <v>112</v>
      </c>
      <c r="Q12" s="65">
        <f>0.227</f>
        <v>0.227</v>
      </c>
      <c r="S12" s="58" t="s">
        <v>113</v>
      </c>
      <c r="T12" s="75">
        <v>0.4</v>
      </c>
      <c r="U12" s="75"/>
      <c r="V12" s="58" t="s">
        <v>113</v>
      </c>
      <c r="W12" s="75">
        <v>1</v>
      </c>
      <c r="X12" s="75"/>
      <c r="Y12" s="58" t="s">
        <v>113</v>
      </c>
      <c r="Z12" s="75">
        <v>1</v>
      </c>
      <c r="AA12" s="75"/>
      <c r="AB12" s="75" t="s">
        <v>96</v>
      </c>
      <c r="AC12" s="76"/>
      <c r="AD12" s="108" t="s">
        <v>34</v>
      </c>
      <c r="AE12" t="s">
        <v>114</v>
      </c>
      <c r="AF12" s="58">
        <v>1</v>
      </c>
      <c r="AG12" s="75"/>
      <c r="AH12" s="75"/>
      <c r="AI12" s="75"/>
      <c r="AJ12" s="75"/>
      <c r="AK12" s="72" t="s">
        <v>115</v>
      </c>
      <c r="AL12" s="59">
        <v>6</v>
      </c>
      <c r="AM12" s="59"/>
      <c r="AN12" s="72" t="s">
        <v>115</v>
      </c>
      <c r="AO12" s="59">
        <v>6</v>
      </c>
      <c r="AP12" s="59"/>
      <c r="AQ12" s="72" t="s">
        <v>115</v>
      </c>
      <c r="AR12" s="59">
        <v>6</v>
      </c>
      <c r="AS12" s="59"/>
      <c r="AT12" t="s">
        <v>112</v>
      </c>
      <c r="AU12" s="100">
        <f>N22</f>
        <v>0.926</v>
      </c>
      <c r="AW12" t="s">
        <v>112</v>
      </c>
      <c r="AX12" s="100">
        <f>AU12</f>
        <v>0.926</v>
      </c>
      <c r="AZ12" t="s">
        <v>112</v>
      </c>
      <c r="BA12" s="100">
        <f>0.227</f>
        <v>0.227</v>
      </c>
      <c r="BC12" t="s">
        <v>112</v>
      </c>
      <c r="BD12" s="100">
        <f>BA12</f>
        <v>0.227</v>
      </c>
      <c r="BF12" t="s">
        <v>112</v>
      </c>
      <c r="BG12" s="100">
        <f>AU12</f>
        <v>0.926</v>
      </c>
      <c r="BI12" t="s">
        <v>112</v>
      </c>
      <c r="BJ12" s="100">
        <f>AX12</f>
        <v>0.926</v>
      </c>
      <c r="BL12" t="s">
        <v>112</v>
      </c>
      <c r="BM12" s="100">
        <f>BG12</f>
        <v>0.926</v>
      </c>
      <c r="BO12" t="s">
        <v>112</v>
      </c>
      <c r="BP12" s="100">
        <f>BJ12</f>
        <v>0.926</v>
      </c>
      <c r="BR12" s="61" t="s">
        <v>112</v>
      </c>
      <c r="BS12" s="109">
        <f>BM12</f>
        <v>0.926</v>
      </c>
      <c r="BT12" s="61"/>
      <c r="BU12" s="61" t="s">
        <v>112</v>
      </c>
      <c r="BV12" s="109">
        <f>BS12</f>
        <v>0.926</v>
      </c>
      <c r="BW12" s="61"/>
      <c r="BX12" s="61" t="s">
        <v>116</v>
      </c>
      <c r="BY12" s="61">
        <v>0</v>
      </c>
      <c r="BZ12" s="61"/>
    </row>
    <row r="13" spans="1:78" ht="12.75">
      <c r="A13" t="s">
        <v>117</v>
      </c>
      <c r="B13">
        <v>24</v>
      </c>
      <c r="C13" t="s">
        <v>85</v>
      </c>
      <c r="D13" s="64" t="s">
        <v>118</v>
      </c>
      <c r="E13" s="57">
        <f>B17</f>
        <v>7.85E-09</v>
      </c>
      <c r="F13" s="64" t="s">
        <v>119</v>
      </c>
      <c r="G13" s="58" t="s">
        <v>120</v>
      </c>
      <c r="H13" s="75">
        <v>0.5</v>
      </c>
      <c r="I13" t="s">
        <v>121</v>
      </c>
      <c r="J13" t="s">
        <v>122</v>
      </c>
      <c r="K13">
        <v>0.5</v>
      </c>
      <c r="M13" s="58" t="s">
        <v>123</v>
      </c>
      <c r="N13" s="65">
        <v>200</v>
      </c>
      <c r="P13" t="s">
        <v>124</v>
      </c>
      <c r="Q13">
        <v>8</v>
      </c>
      <c r="S13" s="58" t="s">
        <v>112</v>
      </c>
      <c r="T13" s="110">
        <f>N22</f>
        <v>0.926</v>
      </c>
      <c r="U13" s="75"/>
      <c r="V13" s="58" t="s">
        <v>112</v>
      </c>
      <c r="W13" s="110">
        <f>T13</f>
        <v>0.926</v>
      </c>
      <c r="X13" s="75"/>
      <c r="Y13" s="58" t="s">
        <v>112</v>
      </c>
      <c r="Z13" s="110">
        <f>T13</f>
        <v>0.926</v>
      </c>
      <c r="AA13" s="75"/>
      <c r="AB13" s="75" t="s">
        <v>104</v>
      </c>
      <c r="AC13" s="76"/>
      <c r="AD13" s="108" t="s">
        <v>34</v>
      </c>
      <c r="AE13" t="s">
        <v>125</v>
      </c>
      <c r="AF13" s="58">
        <v>1</v>
      </c>
      <c r="AG13" s="75"/>
      <c r="AH13" s="75"/>
      <c r="AI13" s="75"/>
      <c r="AJ13" s="75"/>
      <c r="AK13" s="72" t="s">
        <v>126</v>
      </c>
      <c r="AL13" s="59">
        <v>200</v>
      </c>
      <c r="AM13" s="59"/>
      <c r="AN13" s="72" t="s">
        <v>126</v>
      </c>
      <c r="AO13" s="59">
        <v>200</v>
      </c>
      <c r="AP13" s="59"/>
      <c r="AQ13" s="72" t="s">
        <v>126</v>
      </c>
      <c r="AR13" s="59">
        <v>200</v>
      </c>
      <c r="AS13" s="59"/>
      <c r="AT13" t="s">
        <v>127</v>
      </c>
      <c r="AU13">
        <v>0.073</v>
      </c>
      <c r="AV13" t="s">
        <v>128</v>
      </c>
      <c r="AW13" t="s">
        <v>127</v>
      </c>
      <c r="AX13">
        <v>0.073</v>
      </c>
      <c r="AY13" t="s">
        <v>128</v>
      </c>
      <c r="AZ13" t="s">
        <v>87</v>
      </c>
      <c r="BA13">
        <v>8</v>
      </c>
      <c r="BB13" t="s">
        <v>128</v>
      </c>
      <c r="BC13" t="s">
        <v>87</v>
      </c>
      <c r="BD13">
        <v>8</v>
      </c>
      <c r="BE13" t="s">
        <v>128</v>
      </c>
      <c r="BF13" t="s">
        <v>127</v>
      </c>
      <c r="BG13">
        <v>0</v>
      </c>
      <c r="BH13" t="s">
        <v>128</v>
      </c>
      <c r="BI13" t="s">
        <v>127</v>
      </c>
      <c r="BJ13">
        <v>0</v>
      </c>
      <c r="BK13" t="s">
        <v>128</v>
      </c>
      <c r="BL13" t="s">
        <v>127</v>
      </c>
      <c r="BM13">
        <v>0.33</v>
      </c>
      <c r="BN13" t="s">
        <v>128</v>
      </c>
      <c r="BO13" t="s">
        <v>87</v>
      </c>
      <c r="BP13">
        <v>0.33</v>
      </c>
      <c r="BQ13" t="s">
        <v>129</v>
      </c>
      <c r="BR13" s="61" t="s">
        <v>130</v>
      </c>
      <c r="BS13" s="61">
        <v>8</v>
      </c>
      <c r="BT13" s="61" t="s">
        <v>131</v>
      </c>
      <c r="BU13" s="61" t="s">
        <v>130</v>
      </c>
      <c r="BV13" s="61">
        <v>8</v>
      </c>
      <c r="BW13" s="61" t="s">
        <v>131</v>
      </c>
      <c r="BZ13" s="61"/>
    </row>
    <row r="14" spans="2:78" ht="12.75">
      <c r="B14">
        <v>24</v>
      </c>
      <c r="C14" t="s">
        <v>85</v>
      </c>
      <c r="D14" s="64" t="s">
        <v>113</v>
      </c>
      <c r="E14" s="64">
        <v>1</v>
      </c>
      <c r="G14" s="58" t="s">
        <v>74</v>
      </c>
      <c r="H14" s="70">
        <f>B9</f>
        <v>1.8E-11</v>
      </c>
      <c r="I14" s="74" t="s">
        <v>56</v>
      </c>
      <c r="J14" s="74"/>
      <c r="K14" s="74"/>
      <c r="L14" s="74"/>
      <c r="M14" s="58" t="s">
        <v>132</v>
      </c>
      <c r="N14" s="63">
        <v>15</v>
      </c>
      <c r="O14" s="74"/>
      <c r="P14" s="74" t="s">
        <v>133</v>
      </c>
      <c r="Q14" s="74">
        <v>1</v>
      </c>
      <c r="R14" s="74"/>
      <c r="S14" s="58" t="s">
        <v>90</v>
      </c>
      <c r="T14" s="57">
        <f>N23</f>
        <v>8.48E-06</v>
      </c>
      <c r="U14" s="58" t="s">
        <v>134</v>
      </c>
      <c r="V14" s="58" t="s">
        <v>90</v>
      </c>
      <c r="W14" s="57">
        <f>T14</f>
        <v>8.48E-06</v>
      </c>
      <c r="X14" s="58" t="s">
        <v>134</v>
      </c>
      <c r="Y14" s="58" t="s">
        <v>90</v>
      </c>
      <c r="Z14" s="57">
        <f>T14</f>
        <v>8.48E-06</v>
      </c>
      <c r="AA14" s="58" t="s">
        <v>134</v>
      </c>
      <c r="AB14" s="58"/>
      <c r="AC14" s="58"/>
      <c r="AD14" s="58"/>
      <c r="AE14" s="58" t="s">
        <v>135</v>
      </c>
      <c r="AF14" s="58">
        <v>1</v>
      </c>
      <c r="AG14" s="58"/>
      <c r="AH14" s="58"/>
      <c r="AI14" s="58"/>
      <c r="AJ14" s="58"/>
      <c r="AK14" s="72" t="s">
        <v>132</v>
      </c>
      <c r="AL14" s="59">
        <v>15</v>
      </c>
      <c r="AM14" s="77"/>
      <c r="AN14" s="72" t="s">
        <v>132</v>
      </c>
      <c r="AO14" s="59">
        <v>15</v>
      </c>
      <c r="AP14" s="77"/>
      <c r="AQ14" s="72" t="s">
        <v>132</v>
      </c>
      <c r="AR14" s="59">
        <v>15</v>
      </c>
      <c r="AS14" s="77"/>
      <c r="AT14" t="s">
        <v>90</v>
      </c>
      <c r="AU14" s="70">
        <f>0.00000848</f>
        <v>8.48E-06</v>
      </c>
      <c r="AV14" s="74" t="s">
        <v>136</v>
      </c>
      <c r="AW14" t="s">
        <v>90</v>
      </c>
      <c r="AX14" s="70">
        <f>0.00000719</f>
        <v>7.19E-06</v>
      </c>
      <c r="AY14" s="74" t="s">
        <v>136</v>
      </c>
      <c r="AZ14" t="s">
        <v>90</v>
      </c>
      <c r="BA14" s="70">
        <v>8.48E-06</v>
      </c>
      <c r="BB14" s="74" t="s">
        <v>136</v>
      </c>
      <c r="BC14" t="s">
        <v>90</v>
      </c>
      <c r="BD14" s="70">
        <f>0.00000719</f>
        <v>7.19E-06</v>
      </c>
      <c r="BE14" s="74" t="s">
        <v>136</v>
      </c>
      <c r="BF14" t="s">
        <v>90</v>
      </c>
      <c r="BG14" s="70">
        <f>AU14</f>
        <v>8.48E-06</v>
      </c>
      <c r="BH14" s="74" t="s">
        <v>136</v>
      </c>
      <c r="BI14" t="s">
        <v>90</v>
      </c>
      <c r="BJ14" s="70">
        <f>AX14</f>
        <v>7.19E-06</v>
      </c>
      <c r="BK14" s="74" t="s">
        <v>136</v>
      </c>
      <c r="BL14" t="s">
        <v>90</v>
      </c>
      <c r="BM14" s="70">
        <f>BG14</f>
        <v>8.48E-06</v>
      </c>
      <c r="BN14" s="74" t="s">
        <v>136</v>
      </c>
      <c r="BO14" t="s">
        <v>90</v>
      </c>
      <c r="BP14" s="70">
        <f>BJ14</f>
        <v>7.19E-06</v>
      </c>
      <c r="BQ14" s="74" t="s">
        <v>136</v>
      </c>
      <c r="BR14" s="61" t="s">
        <v>90</v>
      </c>
      <c r="BS14" s="68">
        <f>BM14</f>
        <v>8.48E-06</v>
      </c>
      <c r="BT14" s="61" t="s">
        <v>138</v>
      </c>
      <c r="BU14" s="61" t="s">
        <v>90</v>
      </c>
      <c r="BV14" s="68">
        <f>BP14</f>
        <v>7.19E-06</v>
      </c>
      <c r="BW14" s="61" t="s">
        <v>138</v>
      </c>
      <c r="BX14" s="61"/>
      <c r="BY14" s="68"/>
      <c r="BZ14" s="61"/>
    </row>
    <row r="15" spans="1:78" ht="12.75">
      <c r="A15" t="s">
        <v>139</v>
      </c>
      <c r="B15" s="57">
        <v>6</v>
      </c>
      <c r="C15" t="s">
        <v>53</v>
      </c>
      <c r="D15" t="s">
        <v>140</v>
      </c>
      <c r="E15" s="57">
        <f>(E5)/((E10/E11)*E7*E8*E9*E12)</f>
        <v>0.49382716049382713</v>
      </c>
      <c r="F15" t="s">
        <v>33</v>
      </c>
      <c r="G15" s="58" t="s">
        <v>141</v>
      </c>
      <c r="H15" s="63">
        <f>H11-H9</f>
        <v>24</v>
      </c>
      <c r="I15" s="74" t="s">
        <v>76</v>
      </c>
      <c r="J15" s="74"/>
      <c r="K15" s="74"/>
      <c r="L15" s="74"/>
      <c r="M15" s="58" t="s">
        <v>101</v>
      </c>
      <c r="N15" s="65">
        <f>30-N12</f>
        <v>24</v>
      </c>
      <c r="P15" t="s">
        <v>142</v>
      </c>
      <c r="Q15">
        <v>30</v>
      </c>
      <c r="S15" s="58" t="s">
        <v>143</v>
      </c>
      <c r="T15" s="57">
        <v>1360000000</v>
      </c>
      <c r="U15" s="58" t="s">
        <v>144</v>
      </c>
      <c r="V15" s="58" t="s">
        <v>143</v>
      </c>
      <c r="W15" s="57">
        <v>1360000000</v>
      </c>
      <c r="X15" s="58" t="s">
        <v>144</v>
      </c>
      <c r="Y15" s="58" t="s">
        <v>143</v>
      </c>
      <c r="Z15" s="57">
        <v>1360000000</v>
      </c>
      <c r="AA15" s="58" t="s">
        <v>144</v>
      </c>
      <c r="AB15" s="58"/>
      <c r="AC15" s="58"/>
      <c r="AD15" s="58"/>
      <c r="AE15" s="58" t="s">
        <v>145</v>
      </c>
      <c r="AF15" s="57">
        <f>AL27</f>
        <v>0.2</v>
      </c>
      <c r="AG15" s="58"/>
      <c r="AH15" s="58"/>
      <c r="AI15" s="58"/>
      <c r="AJ15" s="58"/>
      <c r="AK15" s="72" t="s">
        <v>146</v>
      </c>
      <c r="AL15" s="59">
        <v>34</v>
      </c>
      <c r="AM15" s="59"/>
      <c r="AN15" s="72" t="s">
        <v>146</v>
      </c>
      <c r="AO15" s="59">
        <v>34</v>
      </c>
      <c r="AP15" s="59"/>
      <c r="AQ15" s="72" t="s">
        <v>146</v>
      </c>
      <c r="AR15" s="59">
        <v>34</v>
      </c>
      <c r="AS15" s="59"/>
      <c r="AT15" t="s">
        <v>147</v>
      </c>
      <c r="AU15">
        <v>0.683</v>
      </c>
      <c r="AV15" t="s">
        <v>128</v>
      </c>
      <c r="AW15" t="s">
        <v>147</v>
      </c>
      <c r="AX15">
        <v>0.683</v>
      </c>
      <c r="AY15" t="s">
        <v>128</v>
      </c>
      <c r="BF15" s="74" t="s">
        <v>130</v>
      </c>
      <c r="BG15">
        <v>8</v>
      </c>
      <c r="BH15" s="74" t="s">
        <v>129</v>
      </c>
      <c r="BI15" s="74" t="s">
        <v>130</v>
      </c>
      <c r="BJ15">
        <v>8</v>
      </c>
      <c r="BK15" s="74" t="s">
        <v>129</v>
      </c>
      <c r="BL15" s="74" t="s">
        <v>130</v>
      </c>
      <c r="BM15">
        <v>8</v>
      </c>
      <c r="BN15" s="74" t="s">
        <v>129</v>
      </c>
      <c r="BO15" s="74" t="s">
        <v>130</v>
      </c>
      <c r="BP15">
        <v>8</v>
      </c>
      <c r="BQ15" s="74" t="s">
        <v>129</v>
      </c>
      <c r="BR15" s="74" t="s">
        <v>130</v>
      </c>
      <c r="BS15">
        <v>8</v>
      </c>
      <c r="BT15" s="74" t="s">
        <v>129</v>
      </c>
      <c r="BU15" s="74" t="s">
        <v>130</v>
      </c>
      <c r="BV15">
        <v>8</v>
      </c>
      <c r="BW15" s="74" t="s">
        <v>129</v>
      </c>
      <c r="BX15" s="61"/>
      <c r="BY15" s="61"/>
      <c r="BZ15" s="61"/>
    </row>
    <row r="16" spans="1:78" s="64" customFormat="1" ht="12.75">
      <c r="A16" s="64" t="s">
        <v>148</v>
      </c>
      <c r="B16" s="64">
        <v>24</v>
      </c>
      <c r="C16" s="64" t="s">
        <v>53</v>
      </c>
      <c r="D16" t="s">
        <v>149</v>
      </c>
      <c r="E16" s="57">
        <f>(E5)/((E10/E11)*E7*E8*E13*(1/365))</f>
        <v>24.79830148619957</v>
      </c>
      <c r="F16" t="s">
        <v>33</v>
      </c>
      <c r="G16" s="58" t="s">
        <v>150</v>
      </c>
      <c r="H16">
        <v>1</v>
      </c>
      <c r="I16" t="s">
        <v>151</v>
      </c>
      <c r="J16" t="s">
        <v>152</v>
      </c>
      <c r="K16" s="57">
        <f>K5/(K11*K12*K7/8760*K9*K10)</f>
        <v>6098.579782790309</v>
      </c>
      <c r="L16"/>
      <c r="M16" s="58" t="s">
        <v>153</v>
      </c>
      <c r="N16" s="65">
        <v>100</v>
      </c>
      <c r="O16"/>
      <c r="P16"/>
      <c r="Q16"/>
      <c r="R16"/>
      <c r="S16" s="58" t="s">
        <v>74</v>
      </c>
      <c r="T16" s="70">
        <f>N25</f>
        <v>1.8E-11</v>
      </c>
      <c r="U16" s="74" t="s">
        <v>56</v>
      </c>
      <c r="V16" s="58" t="s">
        <v>74</v>
      </c>
      <c r="W16" s="70">
        <f>T16</f>
        <v>1.8E-11</v>
      </c>
      <c r="X16" s="74" t="s">
        <v>56</v>
      </c>
      <c r="Y16" s="58" t="s">
        <v>74</v>
      </c>
      <c r="Z16" s="70">
        <f>T16</f>
        <v>1.8E-11</v>
      </c>
      <c r="AA16" s="74" t="s">
        <v>56</v>
      </c>
      <c r="AB16" s="74"/>
      <c r="AC16" s="74"/>
      <c r="AD16" s="74"/>
      <c r="AE16" s="74" t="s">
        <v>154</v>
      </c>
      <c r="AF16" s="74">
        <v>0.25</v>
      </c>
      <c r="AG16" s="74"/>
      <c r="AH16" s="74"/>
      <c r="AI16" s="74"/>
      <c r="AJ16" s="74"/>
      <c r="AK16" s="72" t="s">
        <v>155</v>
      </c>
      <c r="AL16" s="59">
        <v>100</v>
      </c>
      <c r="AM16" s="59"/>
      <c r="AN16" s="72" t="s">
        <v>155</v>
      </c>
      <c r="AO16" s="59">
        <v>100</v>
      </c>
      <c r="AP16" s="59"/>
      <c r="AQ16" s="72" t="s">
        <v>155</v>
      </c>
      <c r="AR16" s="59">
        <v>100</v>
      </c>
      <c r="AS16" s="59"/>
      <c r="BR16" s="62"/>
      <c r="BS16" s="62"/>
      <c r="BT16" s="62"/>
      <c r="BU16" s="62"/>
      <c r="BV16" s="62"/>
      <c r="BW16" s="62"/>
      <c r="BX16" s="62"/>
      <c r="BY16" s="62"/>
      <c r="BZ16" s="62"/>
    </row>
    <row r="17" spans="1:78" ht="12.75">
      <c r="A17" s="64" t="s">
        <v>118</v>
      </c>
      <c r="B17" s="57">
        <f>0.00000000785</f>
        <v>7.85E-09</v>
      </c>
      <c r="C17" s="64" t="s">
        <v>119</v>
      </c>
      <c r="D17" t="s">
        <v>140</v>
      </c>
      <c r="E17" s="57">
        <f>(E5*E6*E8)/((E10/E11)*(1-EXP(-E6*E8))*E9*E12*E7*E8)</f>
        <v>817.2839506172841</v>
      </c>
      <c r="F17" t="s">
        <v>35</v>
      </c>
      <c r="G17" s="58" t="s">
        <v>156</v>
      </c>
      <c r="H17">
        <v>1</v>
      </c>
      <c r="I17" t="s">
        <v>151</v>
      </c>
      <c r="J17" t="s">
        <v>157</v>
      </c>
      <c r="K17" s="57"/>
      <c r="M17" s="58" t="s">
        <v>158</v>
      </c>
      <c r="N17" s="75">
        <v>70</v>
      </c>
      <c r="O17" s="64"/>
      <c r="P17" s="64" t="s">
        <v>159</v>
      </c>
      <c r="Q17" s="64">
        <v>100</v>
      </c>
      <c r="R17" s="64"/>
      <c r="S17" s="58" t="s">
        <v>130</v>
      </c>
      <c r="T17">
        <v>8</v>
      </c>
      <c r="U17" s="74"/>
      <c r="V17" s="58" t="s">
        <v>130</v>
      </c>
      <c r="W17">
        <v>8</v>
      </c>
      <c r="X17" s="74"/>
      <c r="Y17" s="58" t="s">
        <v>130</v>
      </c>
      <c r="Z17">
        <v>8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72" t="s">
        <v>158</v>
      </c>
      <c r="AL17" s="59">
        <v>70</v>
      </c>
      <c r="AM17" s="66"/>
      <c r="AN17" s="72" t="s">
        <v>158</v>
      </c>
      <c r="AO17" s="59">
        <v>70</v>
      </c>
      <c r="AP17" s="66"/>
      <c r="AQ17" s="72" t="s">
        <v>158</v>
      </c>
      <c r="AR17" s="59">
        <v>70</v>
      </c>
      <c r="AS17" s="66"/>
      <c r="AT17" s="17" t="s">
        <v>10</v>
      </c>
      <c r="AU17" s="17" t="s">
        <v>160</v>
      </c>
      <c r="AV17" s="17" t="s">
        <v>343</v>
      </c>
      <c r="AW17" s="17" t="s">
        <v>10</v>
      </c>
      <c r="AX17" s="17" t="s">
        <v>161</v>
      </c>
      <c r="AY17" s="17" t="s">
        <v>343</v>
      </c>
      <c r="AZ17" s="5" t="s">
        <v>10</v>
      </c>
      <c r="BA17" s="5" t="s">
        <v>162</v>
      </c>
      <c r="BB17" s="5" t="s">
        <v>343</v>
      </c>
      <c r="BC17" s="5" t="s">
        <v>10</v>
      </c>
      <c r="BD17" s="5" t="s">
        <v>161</v>
      </c>
      <c r="BE17" s="5" t="s">
        <v>343</v>
      </c>
      <c r="BF17" s="18" t="s">
        <v>10</v>
      </c>
      <c r="BG17" s="18" t="s">
        <v>160</v>
      </c>
      <c r="BH17" s="18" t="s">
        <v>343</v>
      </c>
      <c r="BI17" s="18" t="s">
        <v>10</v>
      </c>
      <c r="BJ17" s="18" t="s">
        <v>161</v>
      </c>
      <c r="BK17" s="18" t="s">
        <v>343</v>
      </c>
      <c r="BL17" s="19" t="s">
        <v>10</v>
      </c>
      <c r="BM17" s="19" t="s">
        <v>160</v>
      </c>
      <c r="BN17" s="19" t="s">
        <v>343</v>
      </c>
      <c r="BO17" s="19" t="s">
        <v>10</v>
      </c>
      <c r="BP17" s="19" t="s">
        <v>161</v>
      </c>
      <c r="BQ17" s="19" t="s">
        <v>343</v>
      </c>
      <c r="BR17" s="20" t="s">
        <v>10</v>
      </c>
      <c r="BS17" s="20" t="s">
        <v>160</v>
      </c>
      <c r="BT17" s="20" t="s">
        <v>343</v>
      </c>
      <c r="BU17" s="20" t="s">
        <v>10</v>
      </c>
      <c r="BV17" s="20" t="s">
        <v>161</v>
      </c>
      <c r="BW17" s="20" t="s">
        <v>343</v>
      </c>
      <c r="BX17" s="21" t="s">
        <v>14</v>
      </c>
      <c r="BY17" s="21" t="s">
        <v>343</v>
      </c>
      <c r="BZ17" s="21" t="s">
        <v>163</v>
      </c>
    </row>
    <row r="18" spans="1:78" ht="14.25">
      <c r="A18" s="64" t="s">
        <v>113</v>
      </c>
      <c r="B18" s="64">
        <v>1</v>
      </c>
      <c r="D18" t="s">
        <v>149</v>
      </c>
      <c r="E18" s="57">
        <f>(E5*E6*E8)/((E10/E11)*(1-EXP(-E6*E8))*E13*E7*E8*(1/365))</f>
        <v>41041.18895966029</v>
      </c>
      <c r="F18" t="s">
        <v>35</v>
      </c>
      <c r="H18" s="65">
        <f>1/1000</f>
        <v>0.001</v>
      </c>
      <c r="I18" t="s">
        <v>164</v>
      </c>
      <c r="M18" s="58" t="s">
        <v>82</v>
      </c>
      <c r="N18" s="65">
        <f>(N12*N19+N15*N20)/(N12+N15)</f>
        <v>18</v>
      </c>
      <c r="O18" t="s">
        <v>83</v>
      </c>
      <c r="P18" t="s">
        <v>165</v>
      </c>
      <c r="Q18">
        <v>20</v>
      </c>
      <c r="S18" s="58" t="s">
        <v>166</v>
      </c>
      <c r="T18" s="63">
        <f>1/24</f>
        <v>0.041666666666666664</v>
      </c>
      <c r="V18" s="58" t="s">
        <v>166</v>
      </c>
      <c r="W18" s="63">
        <f>1/24</f>
        <v>0.041666666666666664</v>
      </c>
      <c r="Y18" s="58" t="s">
        <v>166</v>
      </c>
      <c r="Z18" s="63">
        <f>1/24</f>
        <v>0.041666666666666664</v>
      </c>
      <c r="AE18" t="s">
        <v>96</v>
      </c>
      <c r="AF18" s="57"/>
      <c r="AG18" s="106" t="s">
        <v>34</v>
      </c>
      <c r="AK18" s="72" t="s">
        <v>167</v>
      </c>
      <c r="AL18" s="59">
        <f>(AL12*AL19+AL15*AL20)/(AL11)</f>
        <v>18.5</v>
      </c>
      <c r="AM18" s="59" t="s">
        <v>83</v>
      </c>
      <c r="AN18" s="72" t="s">
        <v>167</v>
      </c>
      <c r="AO18" s="59">
        <f>(AO12*AO19+AO15*AO20)/(AO11)</f>
        <v>18.5</v>
      </c>
      <c r="AP18" s="59" t="s">
        <v>83</v>
      </c>
      <c r="AQ18" s="72" t="s">
        <v>167</v>
      </c>
      <c r="AR18" s="59">
        <f>(AR12*AR19+AR15*AR20)/(AR11)</f>
        <v>18.5</v>
      </c>
      <c r="AS18" s="59" t="s">
        <v>83</v>
      </c>
      <c r="AT18" s="25"/>
      <c r="AU18" s="17" t="s">
        <v>29</v>
      </c>
      <c r="AV18" s="26" t="s">
        <v>22</v>
      </c>
      <c r="AW18" s="25"/>
      <c r="AX18" s="17" t="s">
        <v>29</v>
      </c>
      <c r="AY18" s="26" t="s">
        <v>168</v>
      </c>
      <c r="AZ18" s="27"/>
      <c r="BA18" s="5" t="s">
        <v>8</v>
      </c>
      <c r="BB18" s="27" t="s">
        <v>22</v>
      </c>
      <c r="BC18" s="27"/>
      <c r="BD18" s="5" t="s">
        <v>8</v>
      </c>
      <c r="BE18" s="27" t="s">
        <v>22</v>
      </c>
      <c r="BF18" s="18" t="s">
        <v>5</v>
      </c>
      <c r="BG18" s="18" t="s">
        <v>30</v>
      </c>
      <c r="BH18" s="28" t="s">
        <v>22</v>
      </c>
      <c r="BI18" s="18" t="s">
        <v>5</v>
      </c>
      <c r="BJ18" s="18" t="s">
        <v>30</v>
      </c>
      <c r="BK18" s="28" t="s">
        <v>168</v>
      </c>
      <c r="BL18" s="19" t="s">
        <v>3</v>
      </c>
      <c r="BM18" s="19" t="s">
        <v>30</v>
      </c>
      <c r="BN18" s="29" t="s">
        <v>22</v>
      </c>
      <c r="BO18" s="19" t="s">
        <v>3</v>
      </c>
      <c r="BP18" s="19" t="s">
        <v>30</v>
      </c>
      <c r="BQ18" s="29" t="s">
        <v>168</v>
      </c>
      <c r="BR18" s="20" t="s">
        <v>31</v>
      </c>
      <c r="BS18" s="20" t="s">
        <v>30</v>
      </c>
      <c r="BT18" s="30" t="s">
        <v>22</v>
      </c>
      <c r="BU18" s="20" t="s">
        <v>31</v>
      </c>
      <c r="BV18" s="20" t="s">
        <v>30</v>
      </c>
      <c r="BW18" s="30" t="s">
        <v>168</v>
      </c>
      <c r="BX18" s="21" t="s">
        <v>22</v>
      </c>
      <c r="BY18" s="21" t="s">
        <v>29</v>
      </c>
      <c r="BZ18" s="21" t="s">
        <v>32</v>
      </c>
    </row>
    <row r="19" spans="1:78" ht="14.25">
      <c r="A19" t="s">
        <v>140</v>
      </c>
      <c r="B19" s="57">
        <f>(B5)/((B13/B14)*B7*B8*B9*B10)</f>
        <v>0.29394473838918284</v>
      </c>
      <c r="C19" t="s">
        <v>33</v>
      </c>
      <c r="H19">
        <v>1000</v>
      </c>
      <c r="I19" t="s">
        <v>169</v>
      </c>
      <c r="M19" s="58" t="s">
        <v>100</v>
      </c>
      <c r="N19" s="75">
        <v>10</v>
      </c>
      <c r="O19" s="75" t="s">
        <v>83</v>
      </c>
      <c r="P19" s="75"/>
      <c r="Q19" s="75"/>
      <c r="R19" s="75"/>
      <c r="S19" s="63" t="s">
        <v>170</v>
      </c>
      <c r="T19" s="63">
        <v>25</v>
      </c>
      <c r="U19" s="63" t="s">
        <v>78</v>
      </c>
      <c r="V19" s="63" t="s">
        <v>170</v>
      </c>
      <c r="W19" s="63">
        <v>25</v>
      </c>
      <c r="X19" s="63" t="s">
        <v>78</v>
      </c>
      <c r="Y19" s="63" t="s">
        <v>170</v>
      </c>
      <c r="Z19" s="63">
        <v>25</v>
      </c>
      <c r="AA19" s="63" t="s">
        <v>78</v>
      </c>
      <c r="AB19" s="63"/>
      <c r="AC19" s="63"/>
      <c r="AD19" s="63"/>
      <c r="AE19" s="63" t="s">
        <v>104</v>
      </c>
      <c r="AF19" s="70"/>
      <c r="AG19" s="111" t="s">
        <v>34</v>
      </c>
      <c r="AH19" s="63"/>
      <c r="AI19" s="63"/>
      <c r="AJ19" s="63"/>
      <c r="AK19" s="72" t="s">
        <v>171</v>
      </c>
      <c r="AL19" s="78">
        <v>10</v>
      </c>
      <c r="AM19" s="78" t="s">
        <v>83</v>
      </c>
      <c r="AN19" s="72" t="s">
        <v>171</v>
      </c>
      <c r="AO19" s="78">
        <v>10</v>
      </c>
      <c r="AP19" s="78" t="s">
        <v>83</v>
      </c>
      <c r="AQ19" s="72" t="s">
        <v>171</v>
      </c>
      <c r="AR19" s="78">
        <v>10</v>
      </c>
      <c r="AS19" s="78" t="s">
        <v>83</v>
      </c>
      <c r="AT19" s="17" t="s">
        <v>36</v>
      </c>
      <c r="AU19" s="25">
        <f>(AU21*AU22*AU23)/((1-EXP(-AU23*AU22))*AU25*AU30*(AU24/365)*AU28*((AU29)+(AU31*AU26)))</f>
        <v>218629.38283882142</v>
      </c>
      <c r="AV19" s="26" t="s">
        <v>34</v>
      </c>
      <c r="AW19" s="17" t="s">
        <v>36</v>
      </c>
      <c r="AX19" s="25">
        <f>(AX21*AX22*AX23)/((1-EXP(-AX23*AX22))*AX25*AX30*(AX24/365)*AX28*((AX29)+(AX31*AX26)))</f>
        <v>139.6762425973239</v>
      </c>
      <c r="AY19" s="26" t="s">
        <v>34</v>
      </c>
      <c r="AZ19" s="5" t="s">
        <v>36</v>
      </c>
      <c r="BA19" s="39">
        <f>(BA21*BA22*BA23)/(BA25*(1-EXP(-BA23*BA22))*BA30*(BA24/365)*BA28*BA29/24*BA27)</f>
        <v>926279.3379611735</v>
      </c>
      <c r="BB19" s="27" t="s">
        <v>34</v>
      </c>
      <c r="BC19" s="5" t="s">
        <v>36</v>
      </c>
      <c r="BD19" s="39">
        <f>(BD21*BD22*BD23)/(BD25*(1-EXP(-BD23*BD22))*BD30*(BD24/365)*BD28*BD29/24*BD27)</f>
        <v>592.4578882413999</v>
      </c>
      <c r="BE19" s="27" t="s">
        <v>34</v>
      </c>
      <c r="BF19" s="18" t="s">
        <v>36</v>
      </c>
      <c r="BG19" s="51">
        <f>(BG21*BG22*BG23)/((1-EXP(-BG23*BG22))*BG25*BG30*(BG24/365)*BG28*(BG31/24)*BG26)</f>
        <v>794739.6695573998</v>
      </c>
      <c r="BH19" s="28" t="s">
        <v>34</v>
      </c>
      <c r="BI19" s="18" t="s">
        <v>36</v>
      </c>
      <c r="BJ19" s="51">
        <f>(BJ21*BJ22*BJ23)/((1-EXP(-BJ23*BJ22))*BJ25*BJ30*(BJ24/365)*BJ28*(BJ31/24)*BJ26)</f>
        <v>508.3237496844409</v>
      </c>
      <c r="BK19" s="28" t="s">
        <v>34</v>
      </c>
      <c r="BL19" s="19" t="s">
        <v>36</v>
      </c>
      <c r="BM19" s="52">
        <f>(BM21*BM22*BM23)/((1-EXP(-BM23*BM22))*BM25*BM30*(BM24/365)*BM28*(BM31/24)*BM27)</f>
        <v>353217.6309143999</v>
      </c>
      <c r="BN19" s="29" t="s">
        <v>34</v>
      </c>
      <c r="BO19" s="19" t="s">
        <v>36</v>
      </c>
      <c r="BP19" s="52">
        <f>(BP21*BP22*BP23)/((1-EXP(-BP23*BP22))*BP25*BP30*(BP24/365)*BP28*(BP31/24)*BP27)</f>
        <v>225.92166652641816</v>
      </c>
      <c r="BQ19" s="29" t="s">
        <v>34</v>
      </c>
      <c r="BR19" s="20"/>
      <c r="BS19" s="53">
        <f>(BS21*BS22*BS23)/((1-EXP(-BS23*BS22))*BS25*BS30*(BS24/365)*BS28*(BS31/24)*BS27)</f>
        <v>317895.86782295996</v>
      </c>
      <c r="BT19" s="30" t="s">
        <v>34</v>
      </c>
      <c r="BU19" s="20"/>
      <c r="BV19" s="53">
        <f>(BV21*BV22*BV23)/((1-EXP(-BV23*BV22))*BV25*BV30*(BV24/365)*BV28*(BV31/24)*BV27)</f>
        <v>203.32949987377637</v>
      </c>
      <c r="BW19" s="30" t="s">
        <v>34</v>
      </c>
      <c r="BX19" s="79">
        <f>(BY21*BY28*BY33*BY27*10^-3*BY26*BY23)/(BY25*BY36*(1-EXP(-BY23*BY26)))</f>
        <v>48321.978795782816</v>
      </c>
      <c r="BY19" s="55" t="s">
        <v>34</v>
      </c>
      <c r="BZ19" s="21" t="s">
        <v>37</v>
      </c>
    </row>
    <row r="20" spans="1:78" ht="12.75">
      <c r="A20" t="s">
        <v>149</v>
      </c>
      <c r="B20" s="57">
        <f>(B5)/((B13/B14)*B7*B8*B17*(1/365)*B18)</f>
        <v>4.428268122535638</v>
      </c>
      <c r="C20" t="s">
        <v>33</v>
      </c>
      <c r="D20" s="2" t="s">
        <v>2</v>
      </c>
      <c r="E20" s="2" t="s">
        <v>5</v>
      </c>
      <c r="F20" s="2" t="s">
        <v>343</v>
      </c>
      <c r="G20" t="s">
        <v>172</v>
      </c>
      <c r="H20">
        <v>1</v>
      </c>
      <c r="I20" t="s">
        <v>173</v>
      </c>
      <c r="M20" s="58" t="s">
        <v>108</v>
      </c>
      <c r="N20" s="75">
        <v>20</v>
      </c>
      <c r="O20" s="75" t="s">
        <v>83</v>
      </c>
      <c r="P20" s="75"/>
      <c r="Q20" s="75"/>
      <c r="R20" s="75"/>
      <c r="S20" s="63" t="s">
        <v>46</v>
      </c>
      <c r="T20" s="70">
        <f>N35</f>
        <v>66.2</v>
      </c>
      <c r="V20" s="63" t="s">
        <v>46</v>
      </c>
      <c r="W20" s="70">
        <f>T20</f>
        <v>66.2</v>
      </c>
      <c r="Y20" s="63" t="s">
        <v>46</v>
      </c>
      <c r="Z20" s="70">
        <f>T20</f>
        <v>66.2</v>
      </c>
      <c r="AK20" s="72" t="s">
        <v>174</v>
      </c>
      <c r="AL20" s="78">
        <v>20</v>
      </c>
      <c r="AM20" s="78" t="s">
        <v>83</v>
      </c>
      <c r="AN20" s="72" t="s">
        <v>174</v>
      </c>
      <c r="AO20" s="78">
        <v>20</v>
      </c>
      <c r="AP20" s="78" t="s">
        <v>83</v>
      </c>
      <c r="AQ20" s="72" t="s">
        <v>174</v>
      </c>
      <c r="AR20" s="78">
        <v>20</v>
      </c>
      <c r="AS20" s="78" t="s">
        <v>83</v>
      </c>
      <c r="AT20" s="17" t="s">
        <v>41</v>
      </c>
      <c r="AU20" s="25"/>
      <c r="AV20" s="26"/>
      <c r="AW20" s="17" t="s">
        <v>41</v>
      </c>
      <c r="AX20" s="25"/>
      <c r="AY20" s="26"/>
      <c r="AZ20" s="5" t="s">
        <v>41</v>
      </c>
      <c r="BA20" s="27"/>
      <c r="BB20" s="27"/>
      <c r="BC20" s="5" t="s">
        <v>41</v>
      </c>
      <c r="BD20" s="27"/>
      <c r="BE20" s="27"/>
      <c r="BF20" s="18" t="s">
        <v>41</v>
      </c>
      <c r="BG20" s="51"/>
      <c r="BH20" s="28"/>
      <c r="BI20" s="18" t="s">
        <v>41</v>
      </c>
      <c r="BJ20" s="51"/>
      <c r="BK20" s="28"/>
      <c r="BL20" s="19" t="s">
        <v>41</v>
      </c>
      <c r="BM20" s="52"/>
      <c r="BN20" s="29"/>
      <c r="BO20" s="19" t="s">
        <v>41</v>
      </c>
      <c r="BP20" s="52"/>
      <c r="BQ20" s="29"/>
      <c r="BR20" s="20" t="s">
        <v>41</v>
      </c>
      <c r="BS20" s="56"/>
      <c r="BT20" s="30"/>
      <c r="BU20" s="20" t="s">
        <v>41</v>
      </c>
      <c r="BV20" s="56"/>
      <c r="BW20" s="30"/>
      <c r="BX20" s="79">
        <f>(BY22*BY28*BY33*BY27*10^-3*BY26*BY23)/(BY25*BY36*(1-EXP(-BY23*BY26)))</f>
        <v>94.69251846759329</v>
      </c>
      <c r="BY20" s="55" t="s">
        <v>34</v>
      </c>
      <c r="BZ20" s="21" t="s">
        <v>42</v>
      </c>
    </row>
    <row r="21" spans="1:78" ht="12.75">
      <c r="A21" t="s">
        <v>140</v>
      </c>
      <c r="B21" s="57">
        <f>(B5*B8*B6)/((B13/B14)*B7*B8*(1-EXP(-B6*B8))*B9*B10)</f>
        <v>583.7742504409172</v>
      </c>
      <c r="C21" t="s">
        <v>35</v>
      </c>
      <c r="D21" s="2" t="s">
        <v>16</v>
      </c>
      <c r="E21" s="2" t="s">
        <v>14</v>
      </c>
      <c r="F21" s="2" t="s">
        <v>17</v>
      </c>
      <c r="G21" t="s">
        <v>175</v>
      </c>
      <c r="H21">
        <v>0.58</v>
      </c>
      <c r="I21" t="s">
        <v>173</v>
      </c>
      <c r="M21" s="58" t="s">
        <v>113</v>
      </c>
      <c r="N21" s="75">
        <v>0.4</v>
      </c>
      <c r="O21" s="75"/>
      <c r="P21" s="75"/>
      <c r="Q21" s="75"/>
      <c r="R21" s="75"/>
      <c r="T21" s="63">
        <v>365</v>
      </c>
      <c r="U21" t="s">
        <v>176</v>
      </c>
      <c r="W21" s="63">
        <v>365</v>
      </c>
      <c r="X21" t="s">
        <v>176</v>
      </c>
      <c r="Z21" s="63">
        <v>365</v>
      </c>
      <c r="AA21" t="s">
        <v>176</v>
      </c>
      <c r="AK21" s="72" t="s">
        <v>177</v>
      </c>
      <c r="AL21" s="78">
        <v>0.4</v>
      </c>
      <c r="AM21" s="78"/>
      <c r="AN21" s="72" t="s">
        <v>177</v>
      </c>
      <c r="AO21" s="78">
        <v>0.4</v>
      </c>
      <c r="AP21" s="78"/>
      <c r="AQ21" s="72" t="s">
        <v>177</v>
      </c>
      <c r="AR21" s="78">
        <v>0.4</v>
      </c>
      <c r="AS21" s="78"/>
      <c r="AT21" t="s">
        <v>43</v>
      </c>
      <c r="AU21" s="57">
        <v>1E-06</v>
      </c>
      <c r="AW21" t="s">
        <v>43</v>
      </c>
      <c r="AX21" s="57">
        <v>1E-06</v>
      </c>
      <c r="AZ21" t="s">
        <v>43</v>
      </c>
      <c r="BA21" s="57">
        <v>1E-06</v>
      </c>
      <c r="BC21" t="s">
        <v>43</v>
      </c>
      <c r="BD21" s="57">
        <v>1E-06</v>
      </c>
      <c r="BF21" t="s">
        <v>43</v>
      </c>
      <c r="BG21" s="57">
        <v>1E-06</v>
      </c>
      <c r="BI21" t="s">
        <v>43</v>
      </c>
      <c r="BJ21" s="57">
        <v>1E-06</v>
      </c>
      <c r="BL21" t="s">
        <v>43</v>
      </c>
      <c r="BM21" s="57">
        <v>1E-06</v>
      </c>
      <c r="BO21" t="s">
        <v>43</v>
      </c>
      <c r="BP21" s="57">
        <v>1E-06</v>
      </c>
      <c r="BR21" t="s">
        <v>43</v>
      </c>
      <c r="BS21" s="57">
        <v>1E-06</v>
      </c>
      <c r="BU21" t="s">
        <v>43</v>
      </c>
      <c r="BV21" s="57">
        <v>1E-06</v>
      </c>
      <c r="BX21" s="60" t="s">
        <v>45</v>
      </c>
      <c r="BY21" s="68">
        <f>BY5</f>
        <v>300</v>
      </c>
      <c r="BZ21" s="62" t="s">
        <v>19</v>
      </c>
    </row>
    <row r="22" spans="1:78" ht="12.75">
      <c r="A22" t="s">
        <v>149</v>
      </c>
      <c r="B22" s="57">
        <f>(B5*B8*B6)/((B13/B14)*B7*B8*(1-EXP(-B6*B8))*B17*(1/365)*B18)</f>
        <v>8794.540491355776</v>
      </c>
      <c r="C22" t="s">
        <v>35</v>
      </c>
      <c r="D22" s="2" t="s">
        <v>35</v>
      </c>
      <c r="E22" s="33">
        <f>1/((1/E36)+(1/E37))</f>
        <v>721.1938813580401</v>
      </c>
      <c r="F22" s="34" t="s">
        <v>34</v>
      </c>
      <c r="G22" s="58" t="str">
        <f>A13</f>
        <v>ET ra</v>
      </c>
      <c r="H22" s="63">
        <f>B13</f>
        <v>24</v>
      </c>
      <c r="I22" s="63" t="str">
        <f>C13</f>
        <v>hrs/day</v>
      </c>
      <c r="J22" s="63"/>
      <c r="K22" s="63"/>
      <c r="L22" s="63"/>
      <c r="M22" s="58" t="s">
        <v>112</v>
      </c>
      <c r="N22" s="76">
        <f>0.926</f>
        <v>0.926</v>
      </c>
      <c r="O22" s="75"/>
      <c r="P22" s="75"/>
      <c r="Q22" s="75"/>
      <c r="R22" s="75"/>
      <c r="S22" s="74" t="s">
        <v>35</v>
      </c>
      <c r="T22" s="65">
        <f>(T19*T20)/(1-EXP(-T20*T19))</f>
        <v>1655</v>
      </c>
      <c r="V22" s="74" t="s">
        <v>35</v>
      </c>
      <c r="W22" s="65">
        <f>(W19*W20)/(1-EXP(-W20*W19))</f>
        <v>1655</v>
      </c>
      <c r="Y22" s="74" t="s">
        <v>35</v>
      </c>
      <c r="Z22" s="65">
        <f>(Z19*Z20)/(1-EXP(-Z20*Z19))</f>
        <v>1655</v>
      </c>
      <c r="AK22" s="72" t="s">
        <v>112</v>
      </c>
      <c r="AL22" s="112">
        <f>N22</f>
        <v>0.926</v>
      </c>
      <c r="AM22" s="78"/>
      <c r="AN22" s="72" t="s">
        <v>112</v>
      </c>
      <c r="AO22" s="112">
        <f>AL22</f>
        <v>0.926</v>
      </c>
      <c r="AP22" s="78"/>
      <c r="AQ22" s="72" t="s">
        <v>112</v>
      </c>
      <c r="AR22" s="112">
        <f>AL22</f>
        <v>0.926</v>
      </c>
      <c r="AS22" s="78"/>
      <c r="AT22" t="s">
        <v>52</v>
      </c>
      <c r="AU22">
        <v>30</v>
      </c>
      <c r="AV22" t="s">
        <v>53</v>
      </c>
      <c r="AW22" t="s">
        <v>52</v>
      </c>
      <c r="AX22">
        <v>30</v>
      </c>
      <c r="AY22" t="s">
        <v>53</v>
      </c>
      <c r="AZ22" t="s">
        <v>52</v>
      </c>
      <c r="BA22">
        <v>30</v>
      </c>
      <c r="BB22" t="s">
        <v>53</v>
      </c>
      <c r="BC22" t="s">
        <v>52</v>
      </c>
      <c r="BD22">
        <v>30</v>
      </c>
      <c r="BE22" t="s">
        <v>53</v>
      </c>
      <c r="BF22" t="s">
        <v>52</v>
      </c>
      <c r="BG22">
        <v>25</v>
      </c>
      <c r="BH22" t="s">
        <v>53</v>
      </c>
      <c r="BI22" t="s">
        <v>52</v>
      </c>
      <c r="BJ22">
        <v>25</v>
      </c>
      <c r="BK22" t="s">
        <v>53</v>
      </c>
      <c r="BL22" t="s">
        <v>52</v>
      </c>
      <c r="BM22">
        <v>25</v>
      </c>
      <c r="BN22" t="s">
        <v>53</v>
      </c>
      <c r="BO22" t="s">
        <v>52</v>
      </c>
      <c r="BP22">
        <v>25</v>
      </c>
      <c r="BQ22" t="s">
        <v>53</v>
      </c>
      <c r="BR22" t="s">
        <v>52</v>
      </c>
      <c r="BS22">
        <v>25</v>
      </c>
      <c r="BT22" t="s">
        <v>53</v>
      </c>
      <c r="BU22" t="s">
        <v>52</v>
      </c>
      <c r="BV22">
        <v>25</v>
      </c>
      <c r="BW22" t="s">
        <v>53</v>
      </c>
      <c r="BX22" s="61" t="s">
        <v>14</v>
      </c>
      <c r="BY22" s="68">
        <f>H3</f>
        <v>0.5878847731036462</v>
      </c>
      <c r="BZ22" s="62" t="s">
        <v>19</v>
      </c>
    </row>
    <row r="23" spans="4:78" ht="12.75">
      <c r="D23" s="2" t="s">
        <v>33</v>
      </c>
      <c r="E23" s="33">
        <f>1/((1/E34)+(1/E35))</f>
        <v>0.43576669568461635</v>
      </c>
      <c r="F23" s="34" t="s">
        <v>34</v>
      </c>
      <c r="H23" s="63"/>
      <c r="M23" s="58" t="s">
        <v>90</v>
      </c>
      <c r="N23" s="57">
        <f>0.00000848</f>
        <v>8.48E-06</v>
      </c>
      <c r="O23" s="58" t="s">
        <v>134</v>
      </c>
      <c r="P23" s="58"/>
      <c r="Q23" s="58"/>
      <c r="R23" s="58"/>
      <c r="T23">
        <v>1000</v>
      </c>
      <c r="U23" t="s">
        <v>178</v>
      </c>
      <c r="W23">
        <v>1000</v>
      </c>
      <c r="X23" t="s">
        <v>178</v>
      </c>
      <c r="Z23">
        <v>1000</v>
      </c>
      <c r="AA23" t="s">
        <v>178</v>
      </c>
      <c r="AK23" s="72" t="s">
        <v>90</v>
      </c>
      <c r="AL23" s="71">
        <f>Z14</f>
        <v>8.48E-06</v>
      </c>
      <c r="AM23" s="72" t="s">
        <v>179</v>
      </c>
      <c r="AN23" s="72" t="s">
        <v>90</v>
      </c>
      <c r="AO23" s="71">
        <f>AL23</f>
        <v>8.48E-06</v>
      </c>
      <c r="AP23" s="72" t="s">
        <v>179</v>
      </c>
      <c r="AQ23" s="72" t="s">
        <v>90</v>
      </c>
      <c r="AR23" s="71">
        <f>AL23</f>
        <v>8.48E-06</v>
      </c>
      <c r="AS23" s="72" t="s">
        <v>179</v>
      </c>
      <c r="AT23" t="s">
        <v>46</v>
      </c>
      <c r="AU23" s="70">
        <f>AU7</f>
        <v>66.2</v>
      </c>
      <c r="AW23" t="s">
        <v>46</v>
      </c>
      <c r="AX23" s="70">
        <f>AU7</f>
        <v>66.2</v>
      </c>
      <c r="AZ23" t="s">
        <v>46</v>
      </c>
      <c r="BA23" s="70">
        <f>AX23</f>
        <v>66.2</v>
      </c>
      <c r="BC23" t="s">
        <v>46</v>
      </c>
      <c r="BD23" s="70">
        <f>BA23</f>
        <v>66.2</v>
      </c>
      <c r="BF23" t="s">
        <v>46</v>
      </c>
      <c r="BG23" s="70">
        <f>AX23</f>
        <v>66.2</v>
      </c>
      <c r="BI23" t="s">
        <v>46</v>
      </c>
      <c r="BJ23" s="70">
        <f>BG23</f>
        <v>66.2</v>
      </c>
      <c r="BL23" t="s">
        <v>46</v>
      </c>
      <c r="BM23" s="70">
        <f>BJ23</f>
        <v>66.2</v>
      </c>
      <c r="BO23" t="s">
        <v>46</v>
      </c>
      <c r="BP23" s="70">
        <f>BM7</f>
        <v>66.2</v>
      </c>
      <c r="BR23" s="61" t="s">
        <v>46</v>
      </c>
      <c r="BS23" s="68">
        <f>BS7</f>
        <v>66.2</v>
      </c>
      <c r="BT23" s="61"/>
      <c r="BU23" s="61" t="s">
        <v>46</v>
      </c>
      <c r="BV23" s="68">
        <f>BS7</f>
        <v>66.2</v>
      </c>
      <c r="BW23" s="61"/>
      <c r="BX23" s="61" t="s">
        <v>46</v>
      </c>
      <c r="BY23" s="68">
        <f>BY7</f>
        <v>66.2</v>
      </c>
      <c r="BZ23" s="61"/>
    </row>
    <row r="24" spans="1:78" ht="12.75">
      <c r="A24" s="5" t="s">
        <v>0</v>
      </c>
      <c r="B24" s="5"/>
      <c r="C24" s="5" t="s">
        <v>343</v>
      </c>
      <c r="D24" t="s">
        <v>43</v>
      </c>
      <c r="E24" s="57">
        <v>1E-06</v>
      </c>
      <c r="G24" t="s">
        <v>180</v>
      </c>
      <c r="H24" s="65">
        <f>B7</f>
        <v>350</v>
      </c>
      <c r="I24" t="str">
        <f>C7</f>
        <v>day/yr</v>
      </c>
      <c r="M24" s="58" t="s">
        <v>143</v>
      </c>
      <c r="N24" s="57">
        <v>1360000000</v>
      </c>
      <c r="O24" s="58" t="s">
        <v>144</v>
      </c>
      <c r="P24" s="58" t="s">
        <v>143</v>
      </c>
      <c r="Q24" s="57">
        <v>1360000000</v>
      </c>
      <c r="R24" s="58" t="s">
        <v>144</v>
      </c>
      <c r="AK24" s="72" t="s">
        <v>143</v>
      </c>
      <c r="AL24" s="71">
        <v>1360000000</v>
      </c>
      <c r="AM24" s="72" t="s">
        <v>144</v>
      </c>
      <c r="AN24" s="72" t="s">
        <v>143</v>
      </c>
      <c r="AO24" s="71">
        <v>1360000000</v>
      </c>
      <c r="AP24" s="72" t="s">
        <v>144</v>
      </c>
      <c r="AQ24" s="72" t="s">
        <v>143</v>
      </c>
      <c r="AR24" s="71">
        <v>1360000000</v>
      </c>
      <c r="AS24" s="72" t="s">
        <v>144</v>
      </c>
      <c r="AT24" t="s">
        <v>47</v>
      </c>
      <c r="AU24">
        <v>350</v>
      </c>
      <c r="AV24" t="s">
        <v>54</v>
      </c>
      <c r="AW24" t="s">
        <v>47</v>
      </c>
      <c r="AX24">
        <v>350</v>
      </c>
      <c r="AY24" t="s">
        <v>54</v>
      </c>
      <c r="AZ24" t="s">
        <v>47</v>
      </c>
      <c r="BA24">
        <v>350</v>
      </c>
      <c r="BB24" t="s">
        <v>54</v>
      </c>
      <c r="BC24" t="s">
        <v>47</v>
      </c>
      <c r="BD24">
        <v>350</v>
      </c>
      <c r="BE24" t="s">
        <v>54</v>
      </c>
      <c r="BF24" t="s">
        <v>47</v>
      </c>
      <c r="BG24">
        <v>250</v>
      </c>
      <c r="BH24" t="s">
        <v>54</v>
      </c>
      <c r="BI24" t="s">
        <v>47</v>
      </c>
      <c r="BJ24">
        <v>250</v>
      </c>
      <c r="BK24" t="s">
        <v>54</v>
      </c>
      <c r="BL24" t="s">
        <v>47</v>
      </c>
      <c r="BM24">
        <v>225</v>
      </c>
      <c r="BN24" t="s">
        <v>54</v>
      </c>
      <c r="BO24" t="s">
        <v>47</v>
      </c>
      <c r="BP24">
        <v>225</v>
      </c>
      <c r="BQ24" t="s">
        <v>54</v>
      </c>
      <c r="BR24" s="61" t="s">
        <v>47</v>
      </c>
      <c r="BS24" s="61">
        <v>250</v>
      </c>
      <c r="BT24" s="61" t="s">
        <v>54</v>
      </c>
      <c r="BU24" s="61" t="s">
        <v>47</v>
      </c>
      <c r="BV24" s="61">
        <v>250</v>
      </c>
      <c r="BW24" s="61" t="s">
        <v>54</v>
      </c>
      <c r="BX24" s="61" t="s">
        <v>181</v>
      </c>
      <c r="BY24" s="61">
        <v>0.30000000000000004</v>
      </c>
      <c r="BZ24" s="61"/>
    </row>
    <row r="25" spans="1:78" ht="12.75">
      <c r="A25" s="5" t="s">
        <v>182</v>
      </c>
      <c r="B25" s="5" t="s">
        <v>14</v>
      </c>
      <c r="C25" s="5" t="s">
        <v>22</v>
      </c>
      <c r="D25" s="58" t="s">
        <v>46</v>
      </c>
      <c r="E25" s="57">
        <f>B6</f>
        <v>66.2</v>
      </c>
      <c r="G25" t="s">
        <v>57</v>
      </c>
      <c r="H25" s="57">
        <f>0.0000000000171</f>
        <v>1.7099999999999998E-11</v>
      </c>
      <c r="I25" t="s">
        <v>183</v>
      </c>
      <c r="M25" s="58" t="s">
        <v>74</v>
      </c>
      <c r="N25" s="70">
        <f>B9</f>
        <v>1.8E-11</v>
      </c>
      <c r="O25" s="74" t="s">
        <v>56</v>
      </c>
      <c r="P25" s="74"/>
      <c r="Q25" s="74"/>
      <c r="R25" s="74"/>
      <c r="S25" s="58" t="s">
        <v>184</v>
      </c>
      <c r="T25" s="57"/>
      <c r="U25" s="58"/>
      <c r="V25" s="58" t="s">
        <v>184</v>
      </c>
      <c r="W25" s="57"/>
      <c r="X25" s="58"/>
      <c r="Y25" s="58" t="s">
        <v>184</v>
      </c>
      <c r="Z25" s="57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72" t="s">
        <v>74</v>
      </c>
      <c r="AL25" s="81">
        <f>Z16</f>
        <v>1.8E-11</v>
      </c>
      <c r="AM25" s="77" t="s">
        <v>186</v>
      </c>
      <c r="AN25" s="72" t="s">
        <v>74</v>
      </c>
      <c r="AO25" s="81">
        <f>AL16</f>
        <v>100</v>
      </c>
      <c r="AP25" s="77" t="s">
        <v>186</v>
      </c>
      <c r="AQ25" s="72" t="s">
        <v>74</v>
      </c>
      <c r="AR25" s="81">
        <f>AO16</f>
        <v>100</v>
      </c>
      <c r="AS25" s="77" t="s">
        <v>186</v>
      </c>
      <c r="AT25" t="s">
        <v>50</v>
      </c>
      <c r="AU25">
        <v>30</v>
      </c>
      <c r="AV25" t="s">
        <v>53</v>
      </c>
      <c r="AW25" t="s">
        <v>50</v>
      </c>
      <c r="AX25">
        <v>30</v>
      </c>
      <c r="AY25" t="s">
        <v>53</v>
      </c>
      <c r="AZ25" t="s">
        <v>50</v>
      </c>
      <c r="BA25">
        <v>30</v>
      </c>
      <c r="BB25" t="s">
        <v>53</v>
      </c>
      <c r="BC25" t="s">
        <v>50</v>
      </c>
      <c r="BD25">
        <v>30</v>
      </c>
      <c r="BE25" t="s">
        <v>53</v>
      </c>
      <c r="BF25" t="s">
        <v>50</v>
      </c>
      <c r="BG25">
        <v>25</v>
      </c>
      <c r="BH25" t="s">
        <v>53</v>
      </c>
      <c r="BI25" t="s">
        <v>50</v>
      </c>
      <c r="BJ25">
        <v>25</v>
      </c>
      <c r="BK25" t="s">
        <v>53</v>
      </c>
      <c r="BL25" t="s">
        <v>50</v>
      </c>
      <c r="BM25">
        <v>25</v>
      </c>
      <c r="BN25" t="s">
        <v>53</v>
      </c>
      <c r="BO25" t="s">
        <v>50</v>
      </c>
      <c r="BP25">
        <v>25</v>
      </c>
      <c r="BQ25" t="s">
        <v>53</v>
      </c>
      <c r="BR25" t="s">
        <v>50</v>
      </c>
      <c r="BS25">
        <v>25</v>
      </c>
      <c r="BT25" t="s">
        <v>53</v>
      </c>
      <c r="BU25" t="s">
        <v>50</v>
      </c>
      <c r="BV25">
        <v>25</v>
      </c>
      <c r="BW25" t="s">
        <v>53</v>
      </c>
      <c r="BX25" s="61" t="s">
        <v>187</v>
      </c>
      <c r="BY25" s="68">
        <v>1.5</v>
      </c>
      <c r="BZ25" s="61"/>
    </row>
    <row r="26" spans="1:78" ht="12.75">
      <c r="A26" s="5" t="s">
        <v>182</v>
      </c>
      <c r="B26" s="39"/>
      <c r="C26" s="27" t="s">
        <v>34</v>
      </c>
      <c r="D26" t="s">
        <v>47</v>
      </c>
      <c r="E26">
        <v>250</v>
      </c>
      <c r="F26" t="s">
        <v>54</v>
      </c>
      <c r="G26" t="s">
        <v>188</v>
      </c>
      <c r="H26" s="82">
        <f>(H27*H29*H9+H28*H29*H22)/H11</f>
        <v>0.6639999999999999</v>
      </c>
      <c r="I26" t="s">
        <v>129</v>
      </c>
      <c r="M26" s="58" t="s">
        <v>127</v>
      </c>
      <c r="N26" s="57">
        <v>0.073</v>
      </c>
      <c r="O26" s="74"/>
      <c r="P26" s="74"/>
      <c r="Q26" s="74"/>
      <c r="R26" s="74"/>
      <c r="S26" s="58" t="s">
        <v>140</v>
      </c>
      <c r="T26" s="57">
        <f>(T5/(T16*T11*T7*T9*(1/T15)*T17*T18*T23))*T22</f>
        <v>1000355555.5555555</v>
      </c>
      <c r="U26" s="58" t="s">
        <v>34</v>
      </c>
      <c r="V26" s="58" t="s">
        <v>140</v>
      </c>
      <c r="W26" s="57">
        <f>(W5/(W16*W11*W7*W9*(1/W15)*W17*W18*W23))*W22</f>
        <v>1111506172.8395064</v>
      </c>
      <c r="X26" s="58"/>
      <c r="Y26" s="58" t="s">
        <v>140</v>
      </c>
      <c r="Z26" s="57">
        <f>(Z5/(Z16*Z11*Z7*Z9*(1/Z15)*Z17*Z18*Z23))*Z22</f>
        <v>1000355555.5555555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72" t="s">
        <v>189</v>
      </c>
      <c r="AL26" s="71">
        <f>0.04</f>
        <v>0.04</v>
      </c>
      <c r="AM26" s="77"/>
      <c r="AN26" s="72"/>
      <c r="AO26" s="59"/>
      <c r="AP26" s="77"/>
      <c r="AQ26" s="72" t="s">
        <v>189</v>
      </c>
      <c r="AR26" s="71">
        <f>AL26</f>
        <v>0.04</v>
      </c>
      <c r="AS26" s="77"/>
      <c r="AT26" t="s">
        <v>98</v>
      </c>
      <c r="AU26">
        <v>0.4</v>
      </c>
      <c r="AW26" t="s">
        <v>98</v>
      </c>
      <c r="AX26">
        <v>0.4</v>
      </c>
      <c r="AZ26" t="s">
        <v>98</v>
      </c>
      <c r="BA26">
        <v>0.4</v>
      </c>
      <c r="BC26" t="s">
        <v>98</v>
      </c>
      <c r="BD26">
        <v>0.4</v>
      </c>
      <c r="BF26" t="s">
        <v>98</v>
      </c>
      <c r="BG26">
        <v>0.4</v>
      </c>
      <c r="BI26" t="s">
        <v>98</v>
      </c>
      <c r="BJ26">
        <v>0.4</v>
      </c>
      <c r="BL26" t="s">
        <v>98</v>
      </c>
      <c r="BM26">
        <v>0.4</v>
      </c>
      <c r="BO26" t="s">
        <v>98</v>
      </c>
      <c r="BP26">
        <v>0.4</v>
      </c>
      <c r="BR26" s="61"/>
      <c r="BS26" s="61"/>
      <c r="BT26" s="61"/>
      <c r="BU26" s="61"/>
      <c r="BV26" s="61"/>
      <c r="BW26" s="61"/>
      <c r="BX26" s="61" t="s">
        <v>52</v>
      </c>
      <c r="BY26" s="61">
        <v>30</v>
      </c>
      <c r="BZ26" s="61"/>
    </row>
    <row r="27" spans="1:78" ht="12.75">
      <c r="A27" s="5"/>
      <c r="B27" s="39" t="s">
        <v>29</v>
      </c>
      <c r="C27" s="27"/>
      <c r="D27" t="s">
        <v>50</v>
      </c>
      <c r="E27">
        <v>25</v>
      </c>
      <c r="F27" t="s">
        <v>53</v>
      </c>
      <c r="G27" t="s">
        <v>190</v>
      </c>
      <c r="H27">
        <v>1</v>
      </c>
      <c r="I27" t="s">
        <v>191</v>
      </c>
      <c r="M27" s="58" t="s">
        <v>147</v>
      </c>
      <c r="N27" s="70">
        <v>0.684</v>
      </c>
      <c r="O27" s="74"/>
      <c r="P27" s="74"/>
      <c r="Q27" s="74"/>
      <c r="R27" s="74"/>
      <c r="S27" s="58" t="s">
        <v>192</v>
      </c>
      <c r="T27" s="57">
        <f>(T5/(T14*T13*T17*T18*T12*T7*(1/T21)*T9))*T22</f>
        <v>92.31351114552345</v>
      </c>
      <c r="U27" s="58" t="s">
        <v>34</v>
      </c>
      <c r="V27" s="58" t="s">
        <v>192</v>
      </c>
      <c r="W27" s="57">
        <f>(W5/(W14*W13*W17*W18*W12*W7*(1/W21)*W9))*W22</f>
        <v>41.0282271757882</v>
      </c>
      <c r="X27" s="58"/>
      <c r="Y27" s="58" t="s">
        <v>192</v>
      </c>
      <c r="Z27" s="57">
        <f>(Z5/(Z14*Z13*Z17*Z18*Z12*Z7*(1/Z21)*Z9))*Z22</f>
        <v>36.925404458209385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72" t="s">
        <v>145</v>
      </c>
      <c r="AL27" s="81">
        <f>0.2</f>
        <v>0.2</v>
      </c>
      <c r="AM27" s="77"/>
      <c r="AN27" s="72"/>
      <c r="AO27" s="81"/>
      <c r="AP27" s="77"/>
      <c r="AQ27" s="72" t="s">
        <v>145</v>
      </c>
      <c r="AR27" s="81">
        <f>AL27</f>
        <v>0.2</v>
      </c>
      <c r="AS27" s="77"/>
      <c r="AT27" t="s">
        <v>106</v>
      </c>
      <c r="AU27">
        <v>1</v>
      </c>
      <c r="AW27" t="s">
        <v>106</v>
      </c>
      <c r="AX27">
        <v>1</v>
      </c>
      <c r="AZ27" t="s">
        <v>106</v>
      </c>
      <c r="BA27">
        <v>1</v>
      </c>
      <c r="BC27" t="s">
        <v>106</v>
      </c>
      <c r="BD27">
        <v>1</v>
      </c>
      <c r="BF27" t="s">
        <v>106</v>
      </c>
      <c r="BG27">
        <v>1</v>
      </c>
      <c r="BI27" t="s">
        <v>106</v>
      </c>
      <c r="BJ27">
        <v>1</v>
      </c>
      <c r="BL27" t="s">
        <v>106</v>
      </c>
      <c r="BM27">
        <v>1</v>
      </c>
      <c r="BO27" t="s">
        <v>106</v>
      </c>
      <c r="BP27">
        <v>1</v>
      </c>
      <c r="BR27" s="61" t="s">
        <v>106</v>
      </c>
      <c r="BS27" s="61">
        <v>1</v>
      </c>
      <c r="BT27" s="61"/>
      <c r="BU27" s="61" t="s">
        <v>106</v>
      </c>
      <c r="BV27" s="61">
        <v>1</v>
      </c>
      <c r="BW27" s="61"/>
      <c r="BX27" s="61" t="s">
        <v>193</v>
      </c>
      <c r="BY27" s="68">
        <v>70</v>
      </c>
      <c r="BZ27" s="61"/>
    </row>
    <row r="28" spans="1:78" ht="12.75">
      <c r="A28" s="58" t="s">
        <v>43</v>
      </c>
      <c r="B28" s="57">
        <v>1E-06</v>
      </c>
      <c r="D28" t="s">
        <v>74</v>
      </c>
      <c r="E28" s="70">
        <f>B9</f>
        <v>1.8E-11</v>
      </c>
      <c r="F28" s="74" t="s">
        <v>56</v>
      </c>
      <c r="G28" t="s">
        <v>194</v>
      </c>
      <c r="H28">
        <v>0.58</v>
      </c>
      <c r="I28" t="s">
        <v>191</v>
      </c>
      <c r="M28" s="58" t="s">
        <v>50</v>
      </c>
      <c r="N28" s="63">
        <v>30</v>
      </c>
      <c r="O28" s="74" t="s">
        <v>76</v>
      </c>
      <c r="P28" s="74"/>
      <c r="Q28" s="74"/>
      <c r="R28" s="74"/>
      <c r="S28" s="58"/>
      <c r="T28" s="63"/>
      <c r="U28" s="74"/>
      <c r="V28" s="58"/>
      <c r="W28" s="63"/>
      <c r="X28" s="74"/>
      <c r="Y28" s="58"/>
      <c r="Z28" s="6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2" t="s">
        <v>105</v>
      </c>
      <c r="AL28" s="73">
        <v>40</v>
      </c>
      <c r="AM28" s="77" t="s">
        <v>76</v>
      </c>
      <c r="AN28" s="72" t="s">
        <v>105</v>
      </c>
      <c r="AO28" s="73">
        <v>40</v>
      </c>
      <c r="AP28" s="77" t="s">
        <v>76</v>
      </c>
      <c r="AQ28" s="72" t="s">
        <v>105</v>
      </c>
      <c r="AR28" s="73">
        <v>40</v>
      </c>
      <c r="AS28" s="77" t="s">
        <v>76</v>
      </c>
      <c r="AT28" t="s">
        <v>112</v>
      </c>
      <c r="AU28" s="100">
        <f>AU12</f>
        <v>0.926</v>
      </c>
      <c r="AW28" t="s">
        <v>112</v>
      </c>
      <c r="AX28" s="100">
        <f>AU12</f>
        <v>0.926</v>
      </c>
      <c r="AZ28" t="s">
        <v>112</v>
      </c>
      <c r="BA28" s="100">
        <f>BA12</f>
        <v>0.227</v>
      </c>
      <c r="BC28" t="s">
        <v>112</v>
      </c>
      <c r="BD28" s="100">
        <f>BA12</f>
        <v>0.227</v>
      </c>
      <c r="BF28" t="s">
        <v>112</v>
      </c>
      <c r="BG28" s="100">
        <f>AU28</f>
        <v>0.926</v>
      </c>
      <c r="BI28" t="s">
        <v>112</v>
      </c>
      <c r="BJ28" s="100">
        <f>AX28</f>
        <v>0.926</v>
      </c>
      <c r="BL28" t="s">
        <v>112</v>
      </c>
      <c r="BM28" s="100">
        <f>BG28</f>
        <v>0.926</v>
      </c>
      <c r="BO28" t="s">
        <v>112</v>
      </c>
      <c r="BP28" s="100">
        <f>BJ28</f>
        <v>0.926</v>
      </c>
      <c r="BR28" s="61" t="s">
        <v>112</v>
      </c>
      <c r="BS28" s="109">
        <f>BS12</f>
        <v>0.926</v>
      </c>
      <c r="BT28" s="61"/>
      <c r="BU28" s="61" t="s">
        <v>112</v>
      </c>
      <c r="BV28" s="109">
        <f>BS12</f>
        <v>0.926</v>
      </c>
      <c r="BW28" s="61"/>
      <c r="BX28" s="61" t="s">
        <v>195</v>
      </c>
      <c r="BY28" s="68">
        <f>1+(BY30*BY31*BY32/BY33*BY34)</f>
        <v>1.7379506112711414</v>
      </c>
      <c r="BZ28" s="61"/>
    </row>
    <row r="29" spans="1:78" ht="12.75">
      <c r="A29" s="58" t="s">
        <v>47</v>
      </c>
      <c r="B29" s="63">
        <v>350</v>
      </c>
      <c r="C29" s="58" t="s">
        <v>48</v>
      </c>
      <c r="D29" t="s">
        <v>84</v>
      </c>
      <c r="E29" s="63">
        <v>8</v>
      </c>
      <c r="F29" s="74" t="s">
        <v>85</v>
      </c>
      <c r="G29" t="s">
        <v>196</v>
      </c>
      <c r="H29">
        <v>1</v>
      </c>
      <c r="I29" t="s">
        <v>151</v>
      </c>
      <c r="M29" s="58" t="s">
        <v>87</v>
      </c>
      <c r="N29" s="70">
        <v>24</v>
      </c>
      <c r="O29" s="74" t="s">
        <v>129</v>
      </c>
      <c r="P29" s="74"/>
      <c r="Q29" s="74"/>
      <c r="R29" s="74"/>
      <c r="S29" s="58"/>
      <c r="T29" s="70"/>
      <c r="U29" s="74"/>
      <c r="V29" s="58"/>
      <c r="W29" s="70"/>
      <c r="X29" s="74"/>
      <c r="Y29" s="58"/>
      <c r="Z29" s="70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2" t="s">
        <v>197</v>
      </c>
      <c r="AL29" s="81">
        <v>0.507</v>
      </c>
      <c r="AM29" s="77"/>
      <c r="AN29" s="72" t="s">
        <v>197</v>
      </c>
      <c r="AO29" s="81">
        <v>0.507</v>
      </c>
      <c r="AP29" s="77"/>
      <c r="AQ29" s="72" t="s">
        <v>197</v>
      </c>
      <c r="AR29" s="81">
        <v>0.507</v>
      </c>
      <c r="AS29" s="77"/>
      <c r="AT29" t="s">
        <v>127</v>
      </c>
      <c r="AU29">
        <v>0.073</v>
      </c>
      <c r="AV29" t="s">
        <v>128</v>
      </c>
      <c r="AW29" t="s">
        <v>127</v>
      </c>
      <c r="AX29">
        <v>0.073</v>
      </c>
      <c r="AY29" t="s">
        <v>128</v>
      </c>
      <c r="AZ29" t="s">
        <v>87</v>
      </c>
      <c r="BA29">
        <v>8</v>
      </c>
      <c r="BB29" t="s">
        <v>128</v>
      </c>
      <c r="BC29" t="s">
        <v>87</v>
      </c>
      <c r="BD29">
        <v>8</v>
      </c>
      <c r="BE29" t="s">
        <v>128</v>
      </c>
      <c r="BF29" t="s">
        <v>127</v>
      </c>
      <c r="BG29">
        <v>0</v>
      </c>
      <c r="BH29" t="s">
        <v>128</v>
      </c>
      <c r="BI29" t="s">
        <v>127</v>
      </c>
      <c r="BJ29">
        <v>0</v>
      </c>
      <c r="BK29" t="s">
        <v>128</v>
      </c>
      <c r="BL29" t="s">
        <v>127</v>
      </c>
      <c r="BM29">
        <v>0.33</v>
      </c>
      <c r="BN29" t="s">
        <v>128</v>
      </c>
      <c r="BO29" t="s">
        <v>87</v>
      </c>
      <c r="BP29">
        <v>0.33</v>
      </c>
      <c r="BQ29" t="s">
        <v>129</v>
      </c>
      <c r="BR29" s="61" t="s">
        <v>130</v>
      </c>
      <c r="BS29" s="61">
        <v>8</v>
      </c>
      <c r="BT29" s="61" t="s">
        <v>131</v>
      </c>
      <c r="BU29" s="61" t="s">
        <v>130</v>
      </c>
      <c r="BV29" s="61">
        <v>8</v>
      </c>
      <c r="BW29" s="61" t="s">
        <v>131</v>
      </c>
      <c r="BX29" s="61" t="s">
        <v>198</v>
      </c>
      <c r="BY29" s="61">
        <f>BY12</f>
        <v>0</v>
      </c>
      <c r="BZ29" s="61"/>
    </row>
    <row r="30" spans="1:78" ht="12.75">
      <c r="A30" s="58" t="s">
        <v>55</v>
      </c>
      <c r="B30" s="57"/>
      <c r="C30" s="58" t="s">
        <v>199</v>
      </c>
      <c r="E30" s="63">
        <v>24</v>
      </c>
      <c r="F30" s="74" t="s">
        <v>85</v>
      </c>
      <c r="G30" s="58" t="s">
        <v>184</v>
      </c>
      <c r="H30" s="57"/>
      <c r="I30" s="83"/>
      <c r="J30" s="83"/>
      <c r="K30" s="83"/>
      <c r="L30" s="83"/>
      <c r="M30" s="58" t="s">
        <v>166</v>
      </c>
      <c r="N30" s="70">
        <f>1/24</f>
        <v>0.041666666666666664</v>
      </c>
      <c r="O30" s="74" t="s">
        <v>200</v>
      </c>
      <c r="P30" s="74"/>
      <c r="Q30" s="74"/>
      <c r="R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2" t="s">
        <v>201</v>
      </c>
      <c r="AL30" s="81">
        <v>0.417</v>
      </c>
      <c r="AM30" s="77"/>
      <c r="AN30" s="72" t="s">
        <v>201</v>
      </c>
      <c r="AO30" s="81">
        <v>0.417</v>
      </c>
      <c r="AP30" s="77"/>
      <c r="AQ30" s="72" t="s">
        <v>201</v>
      </c>
      <c r="AR30" s="81">
        <v>0.417</v>
      </c>
      <c r="AS30" s="77"/>
      <c r="AT30" t="s">
        <v>90</v>
      </c>
      <c r="AU30" s="70">
        <f>0.000000000985</f>
        <v>9.85E-10</v>
      </c>
      <c r="AV30" s="74" t="s">
        <v>136</v>
      </c>
      <c r="AW30" t="s">
        <v>90</v>
      </c>
      <c r="AX30" s="70">
        <f>0.00000154</f>
        <v>1.5399999999999999E-06</v>
      </c>
      <c r="AY30" s="74" t="s">
        <v>136</v>
      </c>
      <c r="AZ30" t="s">
        <v>90</v>
      </c>
      <c r="BA30" s="70">
        <v>9.85E-10</v>
      </c>
      <c r="BB30" s="74" t="s">
        <v>136</v>
      </c>
      <c r="BC30" t="s">
        <v>90</v>
      </c>
      <c r="BD30" s="70">
        <f>0.00000154</f>
        <v>1.5399999999999999E-06</v>
      </c>
      <c r="BE30" s="74" t="s">
        <v>136</v>
      </c>
      <c r="BF30" t="s">
        <v>90</v>
      </c>
      <c r="BG30" s="70">
        <f>AU30</f>
        <v>9.85E-10</v>
      </c>
      <c r="BH30" s="74" t="s">
        <v>136</v>
      </c>
      <c r="BI30" t="s">
        <v>90</v>
      </c>
      <c r="BJ30" s="70">
        <f>AX30</f>
        <v>1.5399999999999999E-06</v>
      </c>
      <c r="BK30" s="74" t="s">
        <v>136</v>
      </c>
      <c r="BL30" t="s">
        <v>90</v>
      </c>
      <c r="BM30" s="70">
        <f>BG30</f>
        <v>9.85E-10</v>
      </c>
      <c r="BN30" s="74" t="s">
        <v>136</v>
      </c>
      <c r="BO30" t="s">
        <v>90</v>
      </c>
      <c r="BP30" s="70">
        <f>BJ30</f>
        <v>1.5399999999999999E-06</v>
      </c>
      <c r="BQ30" s="74" t="s">
        <v>136</v>
      </c>
      <c r="BR30" s="61" t="s">
        <v>90</v>
      </c>
      <c r="BS30" s="68">
        <f>BM30</f>
        <v>9.85E-10</v>
      </c>
      <c r="BT30" s="61" t="s">
        <v>138</v>
      </c>
      <c r="BU30" s="61" t="s">
        <v>90</v>
      </c>
      <c r="BV30" s="68">
        <f>BP30</f>
        <v>1.5399999999999999E-06</v>
      </c>
      <c r="BW30" s="61" t="s">
        <v>138</v>
      </c>
      <c r="BX30" s="61" t="s">
        <v>120</v>
      </c>
      <c r="BY30" s="84">
        <v>1</v>
      </c>
      <c r="BZ30" s="61" t="s">
        <v>202</v>
      </c>
    </row>
    <row r="31" spans="1:78" ht="12.75">
      <c r="A31" s="58" t="s">
        <v>50</v>
      </c>
      <c r="B31" s="65">
        <v>30</v>
      </c>
      <c r="D31" t="s">
        <v>109</v>
      </c>
      <c r="E31" s="57">
        <v>60</v>
      </c>
      <c r="F31" s="74" t="s">
        <v>83</v>
      </c>
      <c r="G31" s="58" t="s">
        <v>140</v>
      </c>
      <c r="H31" s="57">
        <f>H5/(H6*H11*H14*H54*H13*H22/24)</f>
        <v>0.5878894767783656</v>
      </c>
      <c r="I31" s="74" t="s">
        <v>34</v>
      </c>
      <c r="J31" s="74"/>
      <c r="K31" s="74"/>
      <c r="L31" s="74"/>
      <c r="M31" s="58"/>
      <c r="N31" s="63"/>
      <c r="AK31" s="72"/>
      <c r="AL31" s="73"/>
      <c r="AM31" s="59"/>
      <c r="AN31" s="72"/>
      <c r="AO31" s="73"/>
      <c r="AP31" s="59"/>
      <c r="AQ31" s="72"/>
      <c r="AR31" s="73"/>
      <c r="AS31" s="59"/>
      <c r="AT31" t="s">
        <v>147</v>
      </c>
      <c r="AU31">
        <v>0.683</v>
      </c>
      <c r="AV31" t="s">
        <v>128</v>
      </c>
      <c r="AW31" t="s">
        <v>147</v>
      </c>
      <c r="AX31">
        <v>0.684</v>
      </c>
      <c r="AY31" t="s">
        <v>128</v>
      </c>
      <c r="BF31" s="74" t="s">
        <v>130</v>
      </c>
      <c r="BG31">
        <v>8</v>
      </c>
      <c r="BH31" s="74" t="s">
        <v>129</v>
      </c>
      <c r="BI31" s="74" t="s">
        <v>130</v>
      </c>
      <c r="BJ31">
        <v>8</v>
      </c>
      <c r="BK31" s="74" t="s">
        <v>129</v>
      </c>
      <c r="BL31" s="74" t="s">
        <v>130</v>
      </c>
      <c r="BM31">
        <v>8</v>
      </c>
      <c r="BN31" s="74" t="s">
        <v>129</v>
      </c>
      <c r="BO31" s="74" t="s">
        <v>130</v>
      </c>
      <c r="BP31">
        <v>8</v>
      </c>
      <c r="BQ31" s="74" t="s">
        <v>129</v>
      </c>
      <c r="BR31" s="74" t="s">
        <v>130</v>
      </c>
      <c r="BS31">
        <v>8</v>
      </c>
      <c r="BT31" s="74" t="s">
        <v>129</v>
      </c>
      <c r="BU31" s="74" t="s">
        <v>130</v>
      </c>
      <c r="BV31">
        <v>8</v>
      </c>
      <c r="BW31" s="74" t="s">
        <v>129</v>
      </c>
      <c r="BX31" s="61" t="s">
        <v>203</v>
      </c>
      <c r="BY31" s="84">
        <v>1</v>
      </c>
      <c r="BZ31" s="61" t="s">
        <v>204</v>
      </c>
    </row>
    <row r="32" spans="1:78" ht="12.75">
      <c r="A32" s="58" t="s">
        <v>205</v>
      </c>
      <c r="B32" s="57">
        <v>54</v>
      </c>
      <c r="C32" t="s">
        <v>89</v>
      </c>
      <c r="D32" s="64" t="s">
        <v>118</v>
      </c>
      <c r="E32" s="57">
        <f>0.00000000785</f>
        <v>7.85E-09</v>
      </c>
      <c r="F32" s="64" t="s">
        <v>119</v>
      </c>
      <c r="G32" t="s">
        <v>206</v>
      </c>
      <c r="H32" s="57">
        <f>H5/(H24*H11*H25/8760*H26*H22/24)</f>
        <v>73476.86485289529</v>
      </c>
      <c r="I32" s="65" t="s">
        <v>34</v>
      </c>
      <c r="J32" s="65"/>
      <c r="K32" s="65"/>
      <c r="L32" s="65"/>
      <c r="M32" s="58" t="s">
        <v>207</v>
      </c>
      <c r="N32" s="63">
        <v>24</v>
      </c>
      <c r="O32" s="63" t="s">
        <v>85</v>
      </c>
      <c r="P32" s="63"/>
      <c r="Q32" s="63"/>
      <c r="R32" s="63"/>
      <c r="S32" s="58"/>
      <c r="T32" s="63"/>
      <c r="U32" s="63"/>
      <c r="V32" s="58"/>
      <c r="W32" s="63"/>
      <c r="X32" s="63"/>
      <c r="Y32" s="58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72" t="s">
        <v>208</v>
      </c>
      <c r="AL32" s="73">
        <v>24</v>
      </c>
      <c r="AM32" s="73" t="s">
        <v>85</v>
      </c>
      <c r="AN32" s="72" t="s">
        <v>208</v>
      </c>
      <c r="AO32" s="73">
        <v>24</v>
      </c>
      <c r="AP32" s="73" t="s">
        <v>85</v>
      </c>
      <c r="AQ32" s="72" t="s">
        <v>208</v>
      </c>
      <c r="AR32" s="73">
        <v>24</v>
      </c>
      <c r="AS32" s="73" t="s">
        <v>85</v>
      </c>
      <c r="BX32" s="61" t="s">
        <v>209</v>
      </c>
      <c r="BY32" s="84">
        <f>((0.0112*BY34*BY34)^0.5)+BY35*(1-EXP((-BY34*BY33)/(BY30*BY31*BY35)))</f>
        <v>0.7379506112711413</v>
      </c>
      <c r="BZ32" s="61" t="s">
        <v>210</v>
      </c>
    </row>
    <row r="33" spans="1:78" ht="12.75">
      <c r="A33" s="58" t="s">
        <v>184</v>
      </c>
      <c r="B33" s="57"/>
      <c r="C33" s="74"/>
      <c r="D33" s="64" t="s">
        <v>113</v>
      </c>
      <c r="E33" s="64">
        <v>1</v>
      </c>
      <c r="G33" t="s">
        <v>211</v>
      </c>
      <c r="H33" s="65"/>
      <c r="I33" s="65"/>
      <c r="J33" s="65"/>
      <c r="K33" s="65"/>
      <c r="L33" s="65"/>
      <c r="N33" s="63">
        <v>24</v>
      </c>
      <c r="O33" t="s">
        <v>85</v>
      </c>
      <c r="T33" s="63"/>
      <c r="W33" s="63"/>
      <c r="Z33" s="63"/>
      <c r="AK33" s="59"/>
      <c r="AL33" s="73">
        <f>1/24</f>
        <v>0.041666666666666664</v>
      </c>
      <c r="AM33" s="59" t="s">
        <v>212</v>
      </c>
      <c r="AN33" s="59"/>
      <c r="AO33" s="73">
        <f>1/24</f>
        <v>0.041666666666666664</v>
      </c>
      <c r="AP33" s="59" t="s">
        <v>212</v>
      </c>
      <c r="AQ33" s="59"/>
      <c r="AR33" s="73">
        <f>1/24</f>
        <v>0.041666666666666664</v>
      </c>
      <c r="AS33" s="59" t="s">
        <v>212</v>
      </c>
      <c r="AT33" s="17" t="s">
        <v>10</v>
      </c>
      <c r="AU33" s="17" t="s">
        <v>213</v>
      </c>
      <c r="AV33" s="17" t="s">
        <v>343</v>
      </c>
      <c r="AZ33" s="5" t="s">
        <v>10</v>
      </c>
      <c r="BA33" s="5" t="s">
        <v>214</v>
      </c>
      <c r="BB33" s="5" t="s">
        <v>343</v>
      </c>
      <c r="BF33" s="18" t="s">
        <v>10</v>
      </c>
      <c r="BG33" s="18" t="s">
        <v>213</v>
      </c>
      <c r="BH33" s="18" t="s">
        <v>343</v>
      </c>
      <c r="BL33" s="19" t="s">
        <v>10</v>
      </c>
      <c r="BM33" s="19" t="s">
        <v>213</v>
      </c>
      <c r="BN33" s="19" t="s">
        <v>343</v>
      </c>
      <c r="BR33" s="20" t="s">
        <v>10</v>
      </c>
      <c r="BS33" s="20" t="s">
        <v>213</v>
      </c>
      <c r="BT33" s="20" t="s">
        <v>343</v>
      </c>
      <c r="BX33" s="61" t="s">
        <v>215</v>
      </c>
      <c r="BY33" s="84">
        <v>1</v>
      </c>
      <c r="BZ33" s="61" t="s">
        <v>202</v>
      </c>
    </row>
    <row r="34" spans="3:78" ht="12.75">
      <c r="C34" s="74"/>
      <c r="D34" t="s">
        <v>140</v>
      </c>
      <c r="E34" s="57">
        <f>(E24)/((E29/E30)*E26*E27*E28*E31)</f>
        <v>0.4444444444444445</v>
      </c>
      <c r="F34" t="s">
        <v>33</v>
      </c>
      <c r="G34" s="58"/>
      <c r="H34" s="57"/>
      <c r="I34" s="58"/>
      <c r="J34" s="58"/>
      <c r="K34" s="58"/>
      <c r="L34" s="58"/>
      <c r="M34" s="63" t="s">
        <v>216</v>
      </c>
      <c r="N34" s="63">
        <v>30</v>
      </c>
      <c r="O34" s="63" t="s">
        <v>78</v>
      </c>
      <c r="P34" t="s">
        <v>217</v>
      </c>
      <c r="Q34">
        <v>30</v>
      </c>
      <c r="R34" s="63"/>
      <c r="AK34" s="73" t="s">
        <v>218</v>
      </c>
      <c r="AL34" s="73">
        <v>40</v>
      </c>
      <c r="AM34" s="73" t="s">
        <v>78</v>
      </c>
      <c r="AN34" s="73" t="s">
        <v>218</v>
      </c>
      <c r="AO34" s="73">
        <v>40</v>
      </c>
      <c r="AP34" s="73" t="s">
        <v>78</v>
      </c>
      <c r="AQ34" s="73" t="s">
        <v>218</v>
      </c>
      <c r="AR34" s="73">
        <v>40</v>
      </c>
      <c r="AS34" s="73" t="s">
        <v>78</v>
      </c>
      <c r="AT34" s="25"/>
      <c r="AU34" s="17" t="s">
        <v>29</v>
      </c>
      <c r="AV34" s="26" t="s">
        <v>22</v>
      </c>
      <c r="AZ34" s="27"/>
      <c r="BA34" s="5" t="s">
        <v>8</v>
      </c>
      <c r="BB34" s="27" t="s">
        <v>22</v>
      </c>
      <c r="BF34" s="18" t="s">
        <v>5</v>
      </c>
      <c r="BG34" s="18" t="s">
        <v>30</v>
      </c>
      <c r="BH34" s="28" t="s">
        <v>22</v>
      </c>
      <c r="BL34" s="19" t="s">
        <v>3</v>
      </c>
      <c r="BM34" s="19" t="s">
        <v>30</v>
      </c>
      <c r="BN34" s="29" t="s">
        <v>22</v>
      </c>
      <c r="BR34" s="20" t="s">
        <v>31</v>
      </c>
      <c r="BS34" s="20" t="s">
        <v>30</v>
      </c>
      <c r="BT34" s="30" t="s">
        <v>22</v>
      </c>
      <c r="BX34" s="61" t="s">
        <v>219</v>
      </c>
      <c r="BY34" s="84">
        <v>1</v>
      </c>
      <c r="BZ34" s="61" t="s">
        <v>210</v>
      </c>
    </row>
    <row r="35" spans="1:78" ht="12.75">
      <c r="A35" s="5" t="s">
        <v>0</v>
      </c>
      <c r="B35" s="5"/>
      <c r="C35" s="5" t="s">
        <v>343</v>
      </c>
      <c r="D35" t="s">
        <v>149</v>
      </c>
      <c r="E35" s="57">
        <f>(E24)/((E29/E30)*E26*E27*E32*(1/365))</f>
        <v>22.318471337579616</v>
      </c>
      <c r="F35" t="s">
        <v>33</v>
      </c>
      <c r="G35" s="58" t="s">
        <v>58</v>
      </c>
      <c r="H35" s="57"/>
      <c r="I35" s="74"/>
      <c r="J35" s="74"/>
      <c r="K35" s="74"/>
      <c r="L35" s="74"/>
      <c r="M35" s="63" t="s">
        <v>46</v>
      </c>
      <c r="N35" s="70">
        <f>66.2</f>
        <v>66.2</v>
      </c>
      <c r="P35" s="63" t="s">
        <v>46</v>
      </c>
      <c r="Q35" s="70">
        <f>N35</f>
        <v>66.2</v>
      </c>
      <c r="AK35" s="73" t="s">
        <v>46</v>
      </c>
      <c r="AL35" s="81">
        <f>B6</f>
        <v>66.2</v>
      </c>
      <c r="AM35" s="59"/>
      <c r="AN35" s="73" t="s">
        <v>46</v>
      </c>
      <c r="AO35" s="81">
        <f>AL35</f>
        <v>66.2</v>
      </c>
      <c r="AP35" s="59"/>
      <c r="AQ35" s="73" t="s">
        <v>46</v>
      </c>
      <c r="AR35" s="81">
        <f>AL35</f>
        <v>66.2</v>
      </c>
      <c r="AS35" s="59"/>
      <c r="AT35" s="17" t="s">
        <v>36</v>
      </c>
      <c r="AU35" s="25">
        <f>(AU37*AU38*AU39)/((1-EXP(-AU39*AU38))*AU41*AU46*(AU40/365)*AU44*((AU45)+(AU47*AU42)))</f>
        <v>47.64379249916796</v>
      </c>
      <c r="AV35" s="26" t="s">
        <v>34</v>
      </c>
      <c r="AZ35" s="5" t="s">
        <v>36</v>
      </c>
      <c r="BA35" s="39">
        <f>(BA37*BA38*BA39)/(BA41*(1-EXP(-BA39*BA38))*BA46*(BA40/365)*BA44*BA45/24*BA43)</f>
        <v>201.85512121499028</v>
      </c>
      <c r="BB35" s="27" t="s">
        <v>34</v>
      </c>
      <c r="BF35" s="18" t="s">
        <v>36</v>
      </c>
      <c r="BG35" s="51">
        <f>(BG37*BG38*BG39)/((1-EXP(-BG39*BG38))*BG41*BG46*(BG40/365)*BG44*(BG47/24)*BG42)</f>
        <v>173.18995011372547</v>
      </c>
      <c r="BH35" s="28" t="s">
        <v>34</v>
      </c>
      <c r="BL35" s="19" t="s">
        <v>36</v>
      </c>
      <c r="BM35" s="52">
        <f>(BM37*BM38*BM39)/((1-EXP(-BM39*BM38))*BM41*BM46*(BM40/365)*BM44*(BM47/24)*BM43)</f>
        <v>76.97331116165574</v>
      </c>
      <c r="BN35" s="29" t="s">
        <v>34</v>
      </c>
      <c r="BR35" s="20"/>
      <c r="BS35" s="53">
        <f>(BS37*BS38*BS39)/((1-EXP(-BS39*BS38))*BS41*BS46*(BS40/365)*BS44*(BS47/24)*BS43)</f>
        <v>69.27598004549019</v>
      </c>
      <c r="BT35" s="30" t="s">
        <v>34</v>
      </c>
      <c r="BX35" s="61" t="s">
        <v>220</v>
      </c>
      <c r="BY35" s="84">
        <v>1</v>
      </c>
      <c r="BZ35" s="61" t="s">
        <v>210</v>
      </c>
    </row>
    <row r="36" spans="1:78" ht="12.75">
      <c r="A36" s="5" t="s">
        <v>182</v>
      </c>
      <c r="B36" s="5" t="s">
        <v>14</v>
      </c>
      <c r="C36" s="5" t="s">
        <v>19</v>
      </c>
      <c r="D36" t="s">
        <v>140</v>
      </c>
      <c r="E36" s="57">
        <f>(E24*E25*E27)/((E29/E30)*(1-EXP(-E25*E27))*E28*E31*E26*E27)</f>
        <v>735.5555555555557</v>
      </c>
      <c r="F36" t="s">
        <v>35</v>
      </c>
      <c r="G36" t="s">
        <v>221</v>
      </c>
      <c r="H36" s="57">
        <f>(H39*H40*H41*(1-EXP(-H47*H42)))/(H49*H47)</f>
        <v>1.4298564304940413</v>
      </c>
      <c r="N36" s="63">
        <v>365</v>
      </c>
      <c r="O36" t="s">
        <v>176</v>
      </c>
      <c r="Q36" s="63">
        <v>365</v>
      </c>
      <c r="R36" t="s">
        <v>176</v>
      </c>
      <c r="AK36" s="59"/>
      <c r="AL36" s="73">
        <v>365</v>
      </c>
      <c r="AM36" s="59" t="s">
        <v>176</v>
      </c>
      <c r="AN36" s="59"/>
      <c r="AO36" s="73">
        <v>365</v>
      </c>
      <c r="AP36" s="59" t="s">
        <v>176</v>
      </c>
      <c r="AQ36" s="59"/>
      <c r="AR36" s="73">
        <v>365</v>
      </c>
      <c r="AS36" s="59" t="s">
        <v>176</v>
      </c>
      <c r="AT36" s="17" t="s">
        <v>41</v>
      </c>
      <c r="AU36" s="25"/>
      <c r="AV36" s="26"/>
      <c r="AZ36" s="5" t="s">
        <v>41</v>
      </c>
      <c r="BA36" s="27"/>
      <c r="BB36" s="27"/>
      <c r="BF36" s="18" t="s">
        <v>41</v>
      </c>
      <c r="BG36" s="51"/>
      <c r="BH36" s="28"/>
      <c r="BL36" s="19" t="s">
        <v>41</v>
      </c>
      <c r="BM36" s="52"/>
      <c r="BN36" s="29"/>
      <c r="BO36" s="64"/>
      <c r="BP36" s="64"/>
      <c r="BQ36" s="64"/>
      <c r="BR36" s="20" t="s">
        <v>41</v>
      </c>
      <c r="BS36" s="56"/>
      <c r="BT36" s="30"/>
      <c r="BU36" s="62"/>
      <c r="BV36" s="62"/>
      <c r="BW36" s="62"/>
      <c r="BX36" s="61" t="s">
        <v>222</v>
      </c>
      <c r="BY36" s="84">
        <v>1</v>
      </c>
      <c r="BZ36" s="61" t="s">
        <v>210</v>
      </c>
    </row>
    <row r="37" spans="1:75" ht="12.75">
      <c r="A37" s="5" t="s">
        <v>223</v>
      </c>
      <c r="B37" s="39" t="e">
        <f>B47</f>
        <v>#DIV/0!</v>
      </c>
      <c r="C37" s="27"/>
      <c r="D37" t="s">
        <v>149</v>
      </c>
      <c r="E37" s="57">
        <f>(E24*E25*E27)/((E29/E30)*(1-EXP(-E25*E27))*E32*E26*E27*(1/365))</f>
        <v>36937.070063694264</v>
      </c>
      <c r="F37" t="s">
        <v>35</v>
      </c>
      <c r="G37" t="s">
        <v>224</v>
      </c>
      <c r="H37" s="65">
        <f>(H39*H40*H50*(1-EXP(-H47*H42)))/(H49*H47)</f>
        <v>9.294066798211269</v>
      </c>
      <c r="M37" s="74" t="s">
        <v>35</v>
      </c>
      <c r="N37" s="65">
        <f>(N34*N35)/(1-EXP(-N35*N34))</f>
        <v>1986</v>
      </c>
      <c r="P37" s="74" t="s">
        <v>35</v>
      </c>
      <c r="Q37" s="57">
        <f>1-EXP(-Q35*Q34)</f>
        <v>1</v>
      </c>
      <c r="AK37" s="77" t="s">
        <v>35</v>
      </c>
      <c r="AL37" s="59">
        <f>(AL34*AL35)/(1-EXP(-AL35*AL34))</f>
        <v>2648</v>
      </c>
      <c r="AM37" s="59"/>
      <c r="AN37" s="77" t="s">
        <v>35</v>
      </c>
      <c r="AO37" s="59">
        <f>(AO34*AO35)/(1-EXP(-AO35*AO34))</f>
        <v>2648</v>
      </c>
      <c r="AP37" s="59"/>
      <c r="AQ37" s="77" t="s">
        <v>35</v>
      </c>
      <c r="AR37" s="59">
        <f>(AR34*AR35)/(1-EXP(-AR35*AR34))</f>
        <v>2648</v>
      </c>
      <c r="AS37" s="59"/>
      <c r="AT37" t="s">
        <v>43</v>
      </c>
      <c r="AU37" s="57">
        <v>1E-06</v>
      </c>
      <c r="AZ37" t="s">
        <v>43</v>
      </c>
      <c r="BA37" s="57">
        <v>1E-06</v>
      </c>
      <c r="BF37" t="s">
        <v>43</v>
      </c>
      <c r="BG37" s="57">
        <v>1E-06</v>
      </c>
      <c r="BL37" t="s">
        <v>43</v>
      </c>
      <c r="BM37" s="57">
        <v>1E-06</v>
      </c>
      <c r="BR37" t="s">
        <v>43</v>
      </c>
      <c r="BS37" s="57">
        <v>1E-06</v>
      </c>
      <c r="BU37" s="61"/>
      <c r="BV37" s="61"/>
      <c r="BW37" s="61"/>
    </row>
    <row r="38" spans="1:72" ht="12.75">
      <c r="A38" s="5" t="s">
        <v>225</v>
      </c>
      <c r="B38" s="39" t="s">
        <v>29</v>
      </c>
      <c r="C38" s="27"/>
      <c r="G38" s="58" t="s">
        <v>226</v>
      </c>
      <c r="H38" s="57">
        <f>(H39*H40*H51*H52*(1-EXP(-H48*H43)))/(H45*H48)</f>
        <v>3.642420320634722</v>
      </c>
      <c r="I38" s="74"/>
      <c r="J38" s="74"/>
      <c r="K38" s="74"/>
      <c r="L38" s="74"/>
      <c r="N38">
        <v>1000</v>
      </c>
      <c r="O38" t="s">
        <v>178</v>
      </c>
      <c r="AK38" s="59"/>
      <c r="AL38" s="59">
        <v>1000</v>
      </c>
      <c r="AM38" s="59" t="s">
        <v>178</v>
      </c>
      <c r="AN38" s="59"/>
      <c r="AO38" s="59">
        <v>1000</v>
      </c>
      <c r="AP38" s="59" t="s">
        <v>178</v>
      </c>
      <c r="AQ38" s="59"/>
      <c r="AR38" s="59"/>
      <c r="AS38" s="59"/>
      <c r="AT38" t="s">
        <v>52</v>
      </c>
      <c r="AU38">
        <v>30</v>
      </c>
      <c r="AV38" t="s">
        <v>53</v>
      </c>
      <c r="AZ38" t="s">
        <v>52</v>
      </c>
      <c r="BA38">
        <v>30</v>
      </c>
      <c r="BB38" t="s">
        <v>53</v>
      </c>
      <c r="BF38" t="s">
        <v>52</v>
      </c>
      <c r="BG38">
        <v>25</v>
      </c>
      <c r="BH38" t="s">
        <v>53</v>
      </c>
      <c r="BL38" t="s">
        <v>52</v>
      </c>
      <c r="BM38">
        <v>25</v>
      </c>
      <c r="BN38" t="s">
        <v>53</v>
      </c>
      <c r="BR38" t="s">
        <v>52</v>
      </c>
      <c r="BS38">
        <v>25</v>
      </c>
      <c r="BT38" t="s">
        <v>53</v>
      </c>
    </row>
    <row r="39" spans="1:75" ht="12.75">
      <c r="A39" s="58" t="s">
        <v>43</v>
      </c>
      <c r="B39" s="57">
        <v>1E-06</v>
      </c>
      <c r="D39" s="85" t="s">
        <v>2</v>
      </c>
      <c r="E39" s="85" t="s">
        <v>31</v>
      </c>
      <c r="F39" s="85" t="s">
        <v>343</v>
      </c>
      <c r="G39" s="58" t="s">
        <v>227</v>
      </c>
      <c r="H39">
        <v>3.62</v>
      </c>
      <c r="I39" s="74"/>
      <c r="J39" s="74"/>
      <c r="K39" s="74"/>
      <c r="L39" s="74"/>
      <c r="AK39" s="59"/>
      <c r="AL39" s="59"/>
      <c r="AM39" s="59"/>
      <c r="AN39" s="59"/>
      <c r="AO39" s="59"/>
      <c r="AP39" s="59"/>
      <c r="AQ39" s="59"/>
      <c r="AR39" s="59"/>
      <c r="AS39" s="59"/>
      <c r="AT39" t="s">
        <v>46</v>
      </c>
      <c r="AU39" s="70">
        <f>AU7</f>
        <v>66.2</v>
      </c>
      <c r="AZ39" t="s">
        <v>46</v>
      </c>
      <c r="BA39" s="70">
        <f>BA7</f>
        <v>66.2</v>
      </c>
      <c r="BF39" t="s">
        <v>46</v>
      </c>
      <c r="BG39" s="70">
        <f>AU39</f>
        <v>66.2</v>
      </c>
      <c r="BL39" t="s">
        <v>46</v>
      </c>
      <c r="BM39" s="70">
        <f>BG39</f>
        <v>66.2</v>
      </c>
      <c r="BR39" s="61" t="s">
        <v>46</v>
      </c>
      <c r="BS39" s="68">
        <f>BS7</f>
        <v>66.2</v>
      </c>
      <c r="BT39" s="61"/>
      <c r="BU39" s="61"/>
      <c r="BV39" s="61"/>
      <c r="BW39" s="61"/>
    </row>
    <row r="40" spans="1:75" ht="12.75">
      <c r="A40" s="58" t="s">
        <v>47</v>
      </c>
      <c r="B40" s="63">
        <v>350</v>
      </c>
      <c r="C40" s="58" t="s">
        <v>48</v>
      </c>
      <c r="D40" s="85" t="s">
        <v>16</v>
      </c>
      <c r="E40" s="85" t="s">
        <v>14</v>
      </c>
      <c r="F40" s="85" t="s">
        <v>17</v>
      </c>
      <c r="G40" s="58" t="s">
        <v>228</v>
      </c>
      <c r="H40">
        <v>0.25</v>
      </c>
      <c r="I40" s="74"/>
      <c r="J40" s="74"/>
      <c r="K40" s="74"/>
      <c r="L40" s="74"/>
      <c r="M40" s="58" t="s">
        <v>184</v>
      </c>
      <c r="N40" s="57"/>
      <c r="O40" s="74"/>
      <c r="P40" s="58" t="s">
        <v>184</v>
      </c>
      <c r="Q40" s="70"/>
      <c r="R40" s="74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72" t="s">
        <v>184</v>
      </c>
      <c r="AL40" s="81"/>
      <c r="AM40" s="72"/>
      <c r="AN40" s="72"/>
      <c r="AO40" s="72"/>
      <c r="AP40" s="72"/>
      <c r="AQ40" s="72"/>
      <c r="AR40" s="72"/>
      <c r="AS40" s="72"/>
      <c r="AT40" t="s">
        <v>47</v>
      </c>
      <c r="AU40">
        <v>350</v>
      </c>
      <c r="AV40" t="s">
        <v>54</v>
      </c>
      <c r="AZ40" t="s">
        <v>47</v>
      </c>
      <c r="BA40">
        <v>350</v>
      </c>
      <c r="BB40" t="s">
        <v>54</v>
      </c>
      <c r="BF40" t="s">
        <v>47</v>
      </c>
      <c r="BG40">
        <v>250</v>
      </c>
      <c r="BH40" t="s">
        <v>54</v>
      </c>
      <c r="BL40" t="s">
        <v>47</v>
      </c>
      <c r="BM40">
        <v>225</v>
      </c>
      <c r="BN40" t="s">
        <v>54</v>
      </c>
      <c r="BR40" s="61" t="s">
        <v>47</v>
      </c>
      <c r="BS40" s="61">
        <v>250</v>
      </c>
      <c r="BT40" s="61" t="s">
        <v>54</v>
      </c>
      <c r="BU40" s="61"/>
      <c r="BV40" s="61"/>
      <c r="BW40" s="61"/>
    </row>
    <row r="41" spans="1:78" ht="12.75">
      <c r="A41" s="58" t="s">
        <v>55</v>
      </c>
      <c r="B41" s="57">
        <f>B30</f>
        <v>0</v>
      </c>
      <c r="C41" s="58" t="s">
        <v>199</v>
      </c>
      <c r="D41" s="85" t="s">
        <v>35</v>
      </c>
      <c r="E41" s="33">
        <f>1/((1/E55)+(1/E56))</f>
        <v>721.1938813580401</v>
      </c>
      <c r="F41" s="86" t="s">
        <v>34</v>
      </c>
      <c r="G41" s="58" t="s">
        <v>229</v>
      </c>
      <c r="H41" s="57">
        <f>0.04</f>
        <v>0.04</v>
      </c>
      <c r="I41" s="74"/>
      <c r="J41" s="74"/>
      <c r="K41" s="74"/>
      <c r="L41" s="74"/>
      <c r="M41" s="58" t="s">
        <v>140</v>
      </c>
      <c r="N41" s="57">
        <f>(N5/(N25*N18*N8*N11*(1/N24)*N29*N30*N38))*N37</f>
        <v>793932980.5996474</v>
      </c>
      <c r="O41" s="74" t="s">
        <v>34</v>
      </c>
      <c r="P41" s="58" t="s">
        <v>140</v>
      </c>
      <c r="Q41" s="70">
        <f>(Q5*Q34*Q35)/(Q37*Q11*Q18*Q8*Q15*(1/Q24)*Q13/24*1000)</f>
        <v>2143619047.6190476</v>
      </c>
      <c r="R41" s="74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 t="s">
        <v>140</v>
      </c>
      <c r="AL41" s="71">
        <f>(AL5/(AL25*AL18*AL8*AL11*(1/AL24)*AL32*AL33*AL38))*AL37</f>
        <v>772475332.4753326</v>
      </c>
      <c r="AM41" s="72"/>
      <c r="AN41" s="72"/>
      <c r="AO41" s="72"/>
      <c r="AP41" s="72"/>
      <c r="AQ41" s="72"/>
      <c r="AR41" s="72"/>
      <c r="AS41" s="72"/>
      <c r="AT41" t="s">
        <v>50</v>
      </c>
      <c r="AU41">
        <v>30</v>
      </c>
      <c r="AV41" t="s">
        <v>53</v>
      </c>
      <c r="AZ41" t="s">
        <v>50</v>
      </c>
      <c r="BA41">
        <v>30</v>
      </c>
      <c r="BB41" t="s">
        <v>53</v>
      </c>
      <c r="BF41" t="s">
        <v>50</v>
      </c>
      <c r="BG41">
        <v>25</v>
      </c>
      <c r="BH41" t="s">
        <v>53</v>
      </c>
      <c r="BL41" t="s">
        <v>50</v>
      </c>
      <c r="BM41">
        <v>25</v>
      </c>
      <c r="BN41" t="s">
        <v>53</v>
      </c>
      <c r="BR41" t="s">
        <v>50</v>
      </c>
      <c r="BS41">
        <v>25</v>
      </c>
      <c r="BT41" t="s">
        <v>53</v>
      </c>
      <c r="BU41" s="61"/>
      <c r="BV41" s="61"/>
      <c r="BW41" s="61"/>
      <c r="BX41" s="61"/>
      <c r="BY41" s="61"/>
      <c r="BZ41" s="61"/>
    </row>
    <row r="42" spans="1:78" ht="12.75">
      <c r="A42" s="58" t="s">
        <v>50</v>
      </c>
      <c r="B42" s="65">
        <v>30</v>
      </c>
      <c r="D42" s="85" t="s">
        <v>33</v>
      </c>
      <c r="E42" s="33">
        <f>1/((1/E53)+(1/E54))</f>
        <v>0.43576669568461635</v>
      </c>
      <c r="F42" s="86" t="s">
        <v>34</v>
      </c>
      <c r="G42" s="58" t="s">
        <v>230</v>
      </c>
      <c r="H42">
        <v>10950</v>
      </c>
      <c r="I42" s="74"/>
      <c r="J42" s="74"/>
      <c r="K42" s="74"/>
      <c r="L42" s="74"/>
      <c r="M42" s="58" t="s">
        <v>192</v>
      </c>
      <c r="N42" s="57">
        <f>(N5/(N23*N22*(N26+N27*N21)*N8*(1/N36)*N11))*N37</f>
        <v>25.36573273583476</v>
      </c>
      <c r="O42" s="74" t="s">
        <v>34</v>
      </c>
      <c r="P42" s="58" t="s">
        <v>192</v>
      </c>
      <c r="Q42" s="70">
        <f>(Q5*Q34*Q35)/(Q37*Q10*Q12*Q13/24*Q14*Q8/365*Q15)</f>
        <v>107.59258819478251</v>
      </c>
      <c r="R42" s="74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72" t="s">
        <v>192</v>
      </c>
      <c r="AL42" s="71">
        <f>(AL5/(AL23*AL22*(AL29+AL30*AL21)*AL8*(1/AL36)*AL11))*AL37</f>
        <v>13.048030522766888</v>
      </c>
      <c r="AM42" s="72"/>
      <c r="AN42" s="72"/>
      <c r="AO42" s="72"/>
      <c r="AP42" s="72"/>
      <c r="AQ42" s="72"/>
      <c r="AR42" s="72"/>
      <c r="AS42" s="72"/>
      <c r="AT42" t="s">
        <v>98</v>
      </c>
      <c r="AU42">
        <v>0.4</v>
      </c>
      <c r="AZ42" t="s">
        <v>98</v>
      </c>
      <c r="BA42">
        <v>0.4</v>
      </c>
      <c r="BF42" t="s">
        <v>98</v>
      </c>
      <c r="BG42">
        <v>0.4</v>
      </c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ht="12.75">
      <c r="A43" s="58" t="s">
        <v>205</v>
      </c>
      <c r="B43" s="57">
        <v>54</v>
      </c>
      <c r="C43" t="s">
        <v>89</v>
      </c>
      <c r="D43" t="s">
        <v>43</v>
      </c>
      <c r="E43" s="57">
        <v>1E-06</v>
      </c>
      <c r="F43" s="87"/>
      <c r="G43" s="58" t="s">
        <v>231</v>
      </c>
      <c r="H43">
        <v>60</v>
      </c>
      <c r="M43" s="88" t="s">
        <v>232</v>
      </c>
      <c r="N43" s="89"/>
      <c r="O43" s="90"/>
      <c r="P43" s="90"/>
      <c r="Q43" s="90"/>
      <c r="R43" s="90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72" t="s">
        <v>232</v>
      </c>
      <c r="AL43" s="71"/>
      <c r="AM43" s="72"/>
      <c r="AN43" s="72" t="s">
        <v>232</v>
      </c>
      <c r="AO43" s="71"/>
      <c r="AP43" s="72"/>
      <c r="AQ43" s="72" t="s">
        <v>232</v>
      </c>
      <c r="AR43" s="101"/>
      <c r="AS43" s="102"/>
      <c r="AT43" t="s">
        <v>106</v>
      </c>
      <c r="AU43">
        <v>1</v>
      </c>
      <c r="AZ43" t="s">
        <v>106</v>
      </c>
      <c r="BA43">
        <v>1</v>
      </c>
      <c r="BF43" t="s">
        <v>106</v>
      </c>
      <c r="BG43">
        <v>1</v>
      </c>
      <c r="BL43" t="s">
        <v>98</v>
      </c>
      <c r="BM43">
        <v>1</v>
      </c>
      <c r="BR43" s="61" t="s">
        <v>106</v>
      </c>
      <c r="BS43" s="61">
        <v>1</v>
      </c>
      <c r="BT43" s="61"/>
      <c r="BU43" s="61"/>
      <c r="BV43" s="61"/>
      <c r="BW43" s="61"/>
      <c r="BX43" s="61"/>
      <c r="BY43" s="61"/>
      <c r="BZ43" s="61"/>
    </row>
    <row r="44" spans="1:78" ht="12.75">
      <c r="A44" s="58"/>
      <c r="B44" s="63">
        <v>1000</v>
      </c>
      <c r="C44" s="74" t="s">
        <v>178</v>
      </c>
      <c r="D44" s="92" t="s">
        <v>46</v>
      </c>
      <c r="E44" s="93">
        <f>E6</f>
        <v>66.2</v>
      </c>
      <c r="F44" s="87"/>
      <c r="G44" s="64" t="s">
        <v>233</v>
      </c>
      <c r="H44">
        <v>14</v>
      </c>
      <c r="M44" s="94"/>
      <c r="N44" s="94"/>
      <c r="O44" s="94"/>
      <c r="P44" s="94"/>
      <c r="Q44" s="94"/>
      <c r="R44" s="94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72" t="s">
        <v>234</v>
      </c>
      <c r="AL44" s="71"/>
      <c r="AM44" s="77"/>
      <c r="AN44" s="72" t="s">
        <v>234</v>
      </c>
      <c r="AO44" s="81"/>
      <c r="AP44" s="77"/>
      <c r="AQ44" s="72" t="s">
        <v>234</v>
      </c>
      <c r="AR44" s="81">
        <f>AO44/(AR69*(1/1000))</f>
        <v>0</v>
      </c>
      <c r="AS44" s="104"/>
      <c r="AT44" t="s">
        <v>112</v>
      </c>
      <c r="AU44" s="100">
        <f>AU12</f>
        <v>0.926</v>
      </c>
      <c r="AZ44" t="s">
        <v>112</v>
      </c>
      <c r="BA44" s="100">
        <f>BA12</f>
        <v>0.227</v>
      </c>
      <c r="BF44" t="s">
        <v>112</v>
      </c>
      <c r="BG44" s="100">
        <f>AU44</f>
        <v>0.926</v>
      </c>
      <c r="BL44" t="s">
        <v>112</v>
      </c>
      <c r="BM44" s="100">
        <f>BG44</f>
        <v>0.926</v>
      </c>
      <c r="BR44" s="61" t="s">
        <v>112</v>
      </c>
      <c r="BS44" s="109">
        <f>BS12</f>
        <v>0.926</v>
      </c>
      <c r="BT44" s="61"/>
      <c r="BU44" s="61"/>
      <c r="BV44" s="61"/>
      <c r="BW44" s="61"/>
      <c r="BX44" s="61"/>
      <c r="BY44" s="61"/>
      <c r="BZ44" s="61"/>
    </row>
    <row r="45" spans="1:78" ht="12.75">
      <c r="A45" s="58" t="s">
        <v>235</v>
      </c>
      <c r="B45" s="70">
        <v>30</v>
      </c>
      <c r="C45" s="74" t="s">
        <v>236</v>
      </c>
      <c r="D45" s="95" t="s">
        <v>237</v>
      </c>
      <c r="E45" s="87">
        <v>250</v>
      </c>
      <c r="F45" s="87" t="s">
        <v>54</v>
      </c>
      <c r="G45" s="64" t="s">
        <v>238</v>
      </c>
      <c r="H45">
        <v>2</v>
      </c>
      <c r="M45" s="94" t="s">
        <v>239</v>
      </c>
      <c r="N45" s="94">
        <v>0.25</v>
      </c>
      <c r="O45" s="94"/>
      <c r="P45" s="94"/>
      <c r="Q45" s="94"/>
      <c r="R45" s="94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72" t="s">
        <v>240</v>
      </c>
      <c r="AL45" s="71"/>
      <c r="AM45" s="81"/>
      <c r="AN45" s="72" t="s">
        <v>240</v>
      </c>
      <c r="AO45" s="81"/>
      <c r="AP45" s="81"/>
      <c r="AQ45" s="72" t="s">
        <v>240</v>
      </c>
      <c r="AR45" s="103"/>
      <c r="AS45" s="103"/>
      <c r="AT45" t="s">
        <v>127</v>
      </c>
      <c r="AU45">
        <v>0.073</v>
      </c>
      <c r="AV45" t="s">
        <v>128</v>
      </c>
      <c r="AZ45" t="s">
        <v>87</v>
      </c>
      <c r="BA45">
        <v>8</v>
      </c>
      <c r="BB45" t="s">
        <v>128</v>
      </c>
      <c r="BF45" t="s">
        <v>127</v>
      </c>
      <c r="BG45">
        <v>0</v>
      </c>
      <c r="BH45" t="s">
        <v>128</v>
      </c>
      <c r="BL45" t="s">
        <v>127</v>
      </c>
      <c r="BM45">
        <v>0.33</v>
      </c>
      <c r="BN45" t="s">
        <v>128</v>
      </c>
      <c r="BR45" s="61" t="s">
        <v>130</v>
      </c>
      <c r="BS45" s="61">
        <v>8</v>
      </c>
      <c r="BT45" s="61" t="s">
        <v>131</v>
      </c>
      <c r="BU45" s="61"/>
      <c r="BV45" s="61"/>
      <c r="BW45" s="61"/>
      <c r="BX45" s="61"/>
      <c r="BY45" s="61"/>
      <c r="BZ45" s="61"/>
    </row>
    <row r="46" spans="1:78" ht="12.75">
      <c r="A46" s="58" t="s">
        <v>241</v>
      </c>
      <c r="B46">
        <v>1</v>
      </c>
      <c r="C46" s="74" t="s">
        <v>242</v>
      </c>
      <c r="D46" s="95" t="s">
        <v>243</v>
      </c>
      <c r="E46" s="87">
        <v>25</v>
      </c>
      <c r="F46" s="87" t="s">
        <v>53</v>
      </c>
      <c r="G46" s="64" t="s">
        <v>244</v>
      </c>
      <c r="H46" s="57">
        <v>2.7E-05</v>
      </c>
      <c r="M46" s="94" t="s">
        <v>245</v>
      </c>
      <c r="N46" s="94">
        <v>17.48</v>
      </c>
      <c r="O46" s="94"/>
      <c r="P46" s="94"/>
      <c r="Q46" s="94"/>
      <c r="R46" s="94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72" t="s">
        <v>246</v>
      </c>
      <c r="AL46" s="71"/>
      <c r="AM46" s="71"/>
      <c r="AN46" s="72" t="s">
        <v>246</v>
      </c>
      <c r="AO46" s="71"/>
      <c r="AP46" s="71"/>
      <c r="AQ46" s="72" t="s">
        <v>246</v>
      </c>
      <c r="AR46" s="103"/>
      <c r="AS46" s="103"/>
      <c r="AT46" t="s">
        <v>90</v>
      </c>
      <c r="AU46" s="70">
        <f>0.00000452</f>
        <v>4.519999999999999E-06</v>
      </c>
      <c r="AV46" s="74" t="s">
        <v>136</v>
      </c>
      <c r="AZ46" t="s">
        <v>90</v>
      </c>
      <c r="BA46" s="70">
        <v>4.519999999999999E-06</v>
      </c>
      <c r="BB46" s="74" t="s">
        <v>136</v>
      </c>
      <c r="BF46" t="s">
        <v>90</v>
      </c>
      <c r="BG46" s="70">
        <f>AU46</f>
        <v>4.519999999999999E-06</v>
      </c>
      <c r="BH46" s="74" t="s">
        <v>136</v>
      </c>
      <c r="BL46" t="s">
        <v>90</v>
      </c>
      <c r="BM46" s="70">
        <f>BG46</f>
        <v>4.519999999999999E-06</v>
      </c>
      <c r="BN46" s="74" t="s">
        <v>136</v>
      </c>
      <c r="BR46" s="61" t="s">
        <v>90</v>
      </c>
      <c r="BS46" s="68">
        <f>BM46</f>
        <v>4.519999999999999E-06</v>
      </c>
      <c r="BT46" s="61" t="s">
        <v>138</v>
      </c>
      <c r="BU46" s="61"/>
      <c r="BV46" s="61"/>
      <c r="BW46" s="61"/>
      <c r="BX46" s="61"/>
      <c r="BY46" s="61"/>
      <c r="BZ46" s="61"/>
    </row>
    <row r="47" spans="1:78" ht="12.75">
      <c r="A47" s="58" t="s">
        <v>184</v>
      </c>
      <c r="B47" s="57" t="e">
        <f>B39/(B41*B40*B42*B43*B45*B46*(1/B44))</f>
        <v>#DIV/0!</v>
      </c>
      <c r="D47" t="s">
        <v>74</v>
      </c>
      <c r="E47" s="70">
        <f>E9</f>
        <v>1.8E-11</v>
      </c>
      <c r="F47" s="74" t="s">
        <v>56</v>
      </c>
      <c r="G47" s="64" t="s">
        <v>247</v>
      </c>
      <c r="H47" s="57">
        <f>0+H46</f>
        <v>2.7E-05</v>
      </c>
      <c r="M47" s="94" t="s">
        <v>248</v>
      </c>
      <c r="N47" s="94">
        <v>9.08</v>
      </c>
      <c r="O47" s="94"/>
      <c r="P47" s="94"/>
      <c r="Q47" s="94"/>
      <c r="R47" s="94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72" t="s">
        <v>249</v>
      </c>
      <c r="AL47" s="71"/>
      <c r="AM47" s="81"/>
      <c r="AN47" s="72" t="s">
        <v>249</v>
      </c>
      <c r="AO47" s="81"/>
      <c r="AP47" s="81"/>
      <c r="AQ47" s="72" t="s">
        <v>249</v>
      </c>
      <c r="AR47" s="103"/>
      <c r="AS47" s="103"/>
      <c r="AT47" t="s">
        <v>147</v>
      </c>
      <c r="AU47">
        <v>0.683</v>
      </c>
      <c r="AV47" t="s">
        <v>128</v>
      </c>
      <c r="BF47" s="74" t="s">
        <v>130</v>
      </c>
      <c r="BG47">
        <v>8</v>
      </c>
      <c r="BH47" s="74" t="s">
        <v>129</v>
      </c>
      <c r="BL47" s="74" t="s">
        <v>130</v>
      </c>
      <c r="BM47">
        <v>8</v>
      </c>
      <c r="BN47" s="74" t="s">
        <v>129</v>
      </c>
      <c r="BR47" s="74" t="s">
        <v>130</v>
      </c>
      <c r="BS47">
        <v>8</v>
      </c>
      <c r="BT47" s="74" t="s">
        <v>129</v>
      </c>
      <c r="BU47" s="61"/>
      <c r="BV47" s="61"/>
      <c r="BW47" s="61"/>
      <c r="BX47" s="61"/>
      <c r="BY47" s="61"/>
      <c r="BZ47" s="61"/>
    </row>
    <row r="48" spans="4:78" ht="12.75">
      <c r="D48" s="95" t="s">
        <v>84</v>
      </c>
      <c r="E48" s="96">
        <v>8</v>
      </c>
      <c r="F48" s="95" t="s">
        <v>85</v>
      </c>
      <c r="G48" s="64" t="s">
        <v>250</v>
      </c>
      <c r="H48" s="65">
        <f>0+(0.693/H44)</f>
        <v>0.0495</v>
      </c>
      <c r="M48" s="94" t="s">
        <v>251</v>
      </c>
      <c r="N48" s="94">
        <v>5.4</v>
      </c>
      <c r="O48" s="94"/>
      <c r="P48" s="94"/>
      <c r="Q48" s="94"/>
      <c r="R48" s="94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72" t="s">
        <v>252</v>
      </c>
      <c r="AL48" s="71"/>
      <c r="AM48" s="81"/>
      <c r="AN48" s="72" t="s">
        <v>252</v>
      </c>
      <c r="AO48" s="81"/>
      <c r="AP48" s="81"/>
      <c r="AQ48" s="72" t="s">
        <v>252</v>
      </c>
      <c r="AR48" s="103"/>
      <c r="AS48" s="103"/>
      <c r="BU48" s="61"/>
      <c r="BV48" s="61"/>
      <c r="BW48" s="61"/>
      <c r="BX48" s="61"/>
      <c r="BY48" s="61"/>
      <c r="BZ48" s="61"/>
    </row>
    <row r="49" spans="4:45" ht="12.75">
      <c r="D49" s="87"/>
      <c r="E49" s="96">
        <v>24</v>
      </c>
      <c r="F49" s="95" t="s">
        <v>85</v>
      </c>
      <c r="G49" s="64" t="s">
        <v>253</v>
      </c>
      <c r="H49">
        <v>240</v>
      </c>
      <c r="M49" s="94" t="s">
        <v>254</v>
      </c>
      <c r="N49" s="94">
        <v>20.5</v>
      </c>
      <c r="O49" s="94"/>
      <c r="P49" s="94"/>
      <c r="Q49" s="94"/>
      <c r="R49" s="94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72" t="s">
        <v>255</v>
      </c>
      <c r="AL49" s="71"/>
      <c r="AM49" s="81"/>
      <c r="AN49" s="72" t="s">
        <v>255</v>
      </c>
      <c r="AO49" s="81"/>
      <c r="AP49" s="81"/>
      <c r="AQ49" s="72" t="s">
        <v>255</v>
      </c>
      <c r="AR49" s="103"/>
      <c r="AS49" s="103"/>
    </row>
    <row r="50" spans="4:45" ht="12.75">
      <c r="D50" s="95" t="s">
        <v>256</v>
      </c>
      <c r="E50" s="93">
        <v>60</v>
      </c>
      <c r="F50" s="95" t="s">
        <v>83</v>
      </c>
      <c r="G50" s="64" t="s">
        <v>154</v>
      </c>
      <c r="H50" s="65">
        <f>0.26</f>
        <v>0.26</v>
      </c>
      <c r="M50" s="94" t="s">
        <v>257</v>
      </c>
      <c r="N50" s="94">
        <v>3.8</v>
      </c>
      <c r="O50" s="94"/>
      <c r="P50" s="94"/>
      <c r="Q50" s="94"/>
      <c r="R50" s="94"/>
      <c r="AK50" s="72" t="s">
        <v>258</v>
      </c>
      <c r="AL50" s="59">
        <v>1</v>
      </c>
      <c r="AM50" s="59"/>
      <c r="AN50" s="59"/>
      <c r="AO50" s="59"/>
      <c r="AP50" s="59"/>
      <c r="AQ50" s="59"/>
      <c r="AR50" s="59"/>
      <c r="AS50" s="59"/>
    </row>
    <row r="51" spans="4:45" ht="12.75">
      <c r="D51" s="64" t="s">
        <v>118</v>
      </c>
      <c r="E51" s="57">
        <f>B17</f>
        <v>7.85E-09</v>
      </c>
      <c r="F51" s="64" t="s">
        <v>119</v>
      </c>
      <c r="G51" s="64" t="s">
        <v>259</v>
      </c>
      <c r="H51">
        <v>0.42</v>
      </c>
      <c r="M51" s="94" t="s">
        <v>260</v>
      </c>
      <c r="N51" s="94">
        <v>10.4</v>
      </c>
      <c r="O51" s="94"/>
      <c r="P51" s="94"/>
      <c r="Q51" s="94"/>
      <c r="R51" s="94"/>
      <c r="AK51" s="59" t="s">
        <v>261</v>
      </c>
      <c r="AL51" s="59">
        <v>10000</v>
      </c>
      <c r="AM51" s="59" t="s">
        <v>262</v>
      </c>
      <c r="AN51" s="59"/>
      <c r="AO51" s="59"/>
      <c r="AP51" s="59"/>
      <c r="AQ51" t="s">
        <v>221</v>
      </c>
      <c r="AR51" s="57">
        <f>(AR54*AR55*AR26*(1-EXP(-AR62*AR57)))/(AR64*AR62)</f>
        <v>1.4298564304940413</v>
      </c>
      <c r="AS51" s="59"/>
    </row>
    <row r="52" spans="4:45" ht="12.75">
      <c r="D52" s="92" t="s">
        <v>113</v>
      </c>
      <c r="E52" s="92">
        <v>1</v>
      </c>
      <c r="F52" s="87"/>
      <c r="G52" s="64" t="s">
        <v>263</v>
      </c>
      <c r="H52">
        <v>1</v>
      </c>
      <c r="M52" s="94" t="s">
        <v>229</v>
      </c>
      <c r="N52" s="89">
        <f>0.04</f>
        <v>0.04</v>
      </c>
      <c r="O52" s="94"/>
      <c r="P52" s="94"/>
      <c r="Q52" s="94"/>
      <c r="R52" s="94"/>
      <c r="AK52" s="59" t="s">
        <v>264</v>
      </c>
      <c r="AL52" s="59">
        <v>100000</v>
      </c>
      <c r="AM52" s="59" t="s">
        <v>262</v>
      </c>
      <c r="AN52" s="59"/>
      <c r="AO52" s="59"/>
      <c r="AP52" s="59"/>
      <c r="AQ52" t="s">
        <v>224</v>
      </c>
      <c r="AR52" s="57">
        <f>(AR54*AR55*AR65*(1-EXP(-AR62*AR57)))/(AR64*AR62)</f>
        <v>9.294066798211269</v>
      </c>
      <c r="AS52" s="59"/>
    </row>
    <row r="53" spans="4:45" ht="12.75">
      <c r="D53" s="87" t="s">
        <v>140</v>
      </c>
      <c r="E53" s="57">
        <f>(E43)/((E48/E49)*E45*E46*E47*E50)</f>
        <v>0.4444444444444445</v>
      </c>
      <c r="F53" s="87" t="s">
        <v>33</v>
      </c>
      <c r="G53" s="64"/>
      <c r="AK53" s="59" t="s">
        <v>198</v>
      </c>
      <c r="AL53" s="59">
        <f>1</f>
        <v>1</v>
      </c>
      <c r="AM53" s="59" t="s">
        <v>236</v>
      </c>
      <c r="AN53" s="59"/>
      <c r="AO53" s="59"/>
      <c r="AP53" s="59"/>
      <c r="AQ53" s="58" t="s">
        <v>226</v>
      </c>
      <c r="AR53" s="57">
        <f>(AR54*AR55*AR66*AR67*(1-EXP(-AR63*AR58)))/(AR60*AR63)</f>
        <v>3.642420320634722</v>
      </c>
      <c r="AS53" s="59"/>
    </row>
    <row r="54" spans="4:45" ht="12.75">
      <c r="D54" s="87" t="s">
        <v>149</v>
      </c>
      <c r="E54" s="57">
        <f>(E43)/((E48/E49)*E45*E46*E51*(1/365))</f>
        <v>22.318471337579616</v>
      </c>
      <c r="F54" s="87" t="s">
        <v>33</v>
      </c>
      <c r="G54" s="64" t="s">
        <v>82</v>
      </c>
      <c r="H54" s="65">
        <f>(H55*H9+H56*H15)/H11</f>
        <v>18</v>
      </c>
      <c r="M54" t="s">
        <v>267</v>
      </c>
      <c r="N54">
        <v>0.26</v>
      </c>
      <c r="AK54" s="59" t="s">
        <v>268</v>
      </c>
      <c r="AL54" s="59">
        <v>1</v>
      </c>
      <c r="AM54" s="59"/>
      <c r="AN54" s="59" t="s">
        <v>268</v>
      </c>
      <c r="AO54" s="59">
        <v>1</v>
      </c>
      <c r="AP54" s="59"/>
      <c r="AQ54" s="58" t="s">
        <v>227</v>
      </c>
      <c r="AR54">
        <v>3.62</v>
      </c>
      <c r="AS54" s="59"/>
    </row>
    <row r="55" spans="4:45" ht="12.75">
      <c r="D55" s="87" t="s">
        <v>140</v>
      </c>
      <c r="E55" s="57">
        <f>(E43*E44*E46)/((E48/E49)*(1-EXP(-E44*E46))*E47*E50*E45*E46)</f>
        <v>735.5555555555557</v>
      </c>
      <c r="F55" s="87" t="s">
        <v>35</v>
      </c>
      <c r="G55" s="64" t="s">
        <v>341</v>
      </c>
      <c r="H55" s="65">
        <f>10</f>
        <v>10</v>
      </c>
      <c r="AK55" s="59" t="s">
        <v>269</v>
      </c>
      <c r="AL55" s="59">
        <f>(AL12*AL57+AL15*AL58)/AL11</f>
        <v>18.235</v>
      </c>
      <c r="AM55" s="59"/>
      <c r="AN55" s="59" t="s">
        <v>269</v>
      </c>
      <c r="AO55" s="97">
        <f>18.235</f>
        <v>18.235</v>
      </c>
      <c r="AP55" s="59"/>
      <c r="AQ55" s="58" t="s">
        <v>228</v>
      </c>
      <c r="AR55">
        <v>0.25</v>
      </c>
      <c r="AS55" s="59"/>
    </row>
    <row r="56" spans="4:72" ht="12.75">
      <c r="D56" s="87" t="s">
        <v>149</v>
      </c>
      <c r="E56" s="57">
        <f>(E43*E44*E46)/((E48/E49)*(1-EXP(-E44*E46))*E51*E45*E46*(1/365))</f>
        <v>36937.070063694264</v>
      </c>
      <c r="F56" s="87" t="s">
        <v>35</v>
      </c>
      <c r="G56" s="64" t="s">
        <v>342</v>
      </c>
      <c r="H56" s="65">
        <f>20</f>
        <v>20</v>
      </c>
      <c r="AK56" s="59" t="s">
        <v>270</v>
      </c>
      <c r="AL56" s="59">
        <f>(AL12*AL59+AL15*AL60)/AL11</f>
        <v>9.41</v>
      </c>
      <c r="AM56" s="59"/>
      <c r="AN56" s="59" t="s">
        <v>270</v>
      </c>
      <c r="AO56" s="59">
        <f>AL56</f>
        <v>9.41</v>
      </c>
      <c r="AP56" s="59"/>
      <c r="AQ56" s="58"/>
      <c r="AR56" s="57"/>
      <c r="AS56" s="59"/>
      <c r="AT56" s="64"/>
      <c r="AU56" s="64"/>
      <c r="AV56" s="64"/>
      <c r="BF56" s="64"/>
      <c r="BG56" s="64"/>
      <c r="BH56" s="64"/>
      <c r="BL56" s="64"/>
      <c r="BM56" s="64"/>
      <c r="BN56" s="64"/>
      <c r="BR56" s="62"/>
      <c r="BS56" s="62"/>
      <c r="BT56" s="62"/>
    </row>
    <row r="57" spans="7:72" ht="12.75">
      <c r="G57" s="64"/>
      <c r="AK57" s="59" t="s">
        <v>271</v>
      </c>
      <c r="AL57" s="59">
        <v>5.4</v>
      </c>
      <c r="AM57" s="59"/>
      <c r="AN57" s="59"/>
      <c r="AO57" s="59"/>
      <c r="AP57" s="59"/>
      <c r="AQ57" s="58" t="s">
        <v>230</v>
      </c>
      <c r="AR57">
        <v>10950</v>
      </c>
      <c r="AS57" s="59"/>
      <c r="BR57" s="61"/>
      <c r="BS57" s="61"/>
      <c r="BT57" s="61"/>
    </row>
    <row r="58" spans="7:45" ht="12.75">
      <c r="G58" s="64"/>
      <c r="AK58" s="59" t="s">
        <v>272</v>
      </c>
      <c r="AL58" s="59">
        <v>20.5</v>
      </c>
      <c r="AM58" s="59"/>
      <c r="AN58" s="59"/>
      <c r="AO58" s="59"/>
      <c r="AP58" s="59"/>
      <c r="AQ58" s="58" t="s">
        <v>231</v>
      </c>
      <c r="AR58">
        <v>60</v>
      </c>
      <c r="AS58" s="59"/>
    </row>
    <row r="59" spans="7:72" ht="12.75">
      <c r="G59" s="64"/>
      <c r="AK59" s="59" t="s">
        <v>273</v>
      </c>
      <c r="AL59" s="59">
        <v>3.8</v>
      </c>
      <c r="AM59" s="59"/>
      <c r="AN59" s="59"/>
      <c r="AO59" s="59"/>
      <c r="AP59" s="59"/>
      <c r="AQ59" s="64" t="s">
        <v>233</v>
      </c>
      <c r="AR59">
        <v>14</v>
      </c>
      <c r="AS59" s="59"/>
      <c r="BR59" s="61"/>
      <c r="BS59" s="61"/>
      <c r="BT59" s="61"/>
    </row>
    <row r="60" spans="7:72" ht="12.75">
      <c r="G60" s="64"/>
      <c r="AK60" s="59" t="s">
        <v>274</v>
      </c>
      <c r="AL60" s="59">
        <v>10.4</v>
      </c>
      <c r="AM60" s="59"/>
      <c r="AN60" s="59"/>
      <c r="AO60" s="59"/>
      <c r="AP60" s="59"/>
      <c r="AQ60" s="64" t="s">
        <v>238</v>
      </c>
      <c r="AR60">
        <v>2</v>
      </c>
      <c r="AS60" s="59"/>
      <c r="BR60" s="61"/>
      <c r="BS60" s="61"/>
      <c r="BT60" s="61"/>
    </row>
    <row r="61" spans="7:72" ht="12.75">
      <c r="G61" s="64"/>
      <c r="AK61" s="77" t="s">
        <v>275</v>
      </c>
      <c r="AL61" s="59">
        <v>0.001</v>
      </c>
      <c r="AM61" s="77" t="s">
        <v>276</v>
      </c>
      <c r="AN61" s="77"/>
      <c r="AO61" s="77"/>
      <c r="AP61" s="77"/>
      <c r="AQ61" s="64" t="s">
        <v>244</v>
      </c>
      <c r="AR61" s="57">
        <v>2.7E-05</v>
      </c>
      <c r="AS61" s="77"/>
      <c r="BR61" s="61"/>
      <c r="BS61" s="61"/>
      <c r="BT61" s="61"/>
    </row>
    <row r="62" spans="7:72" ht="12.75">
      <c r="G62" s="64"/>
      <c r="AK62" s="77" t="s">
        <v>277</v>
      </c>
      <c r="AL62" s="59">
        <v>0.005</v>
      </c>
      <c r="AM62" s="77" t="s">
        <v>276</v>
      </c>
      <c r="AN62" s="77"/>
      <c r="AO62" s="77"/>
      <c r="AP62" s="77"/>
      <c r="AQ62" s="64" t="s">
        <v>247</v>
      </c>
      <c r="AR62" s="57">
        <f>0+AR61</f>
        <v>2.7E-05</v>
      </c>
      <c r="AS62" s="77"/>
      <c r="BR62" s="61"/>
      <c r="BS62" s="61"/>
      <c r="BT62" s="61"/>
    </row>
    <row r="63" spans="7:72" ht="12.75">
      <c r="G63" s="64"/>
      <c r="AK63" s="59" t="s">
        <v>278</v>
      </c>
      <c r="AL63" s="59">
        <v>6.4</v>
      </c>
      <c r="AM63" s="59" t="s">
        <v>279</v>
      </c>
      <c r="AN63" s="59"/>
      <c r="AO63" s="59"/>
      <c r="AP63" s="59"/>
      <c r="AQ63" s="64" t="s">
        <v>250</v>
      </c>
      <c r="AR63" s="65">
        <f>0+(0.693/AR59)</f>
        <v>0.0495</v>
      </c>
      <c r="AS63" s="59"/>
      <c r="BR63" s="61"/>
      <c r="BS63" s="61"/>
      <c r="BT63" s="61"/>
    </row>
    <row r="64" spans="7:72" ht="12.75">
      <c r="G64" s="64"/>
      <c r="AK64" s="59" t="s">
        <v>280</v>
      </c>
      <c r="AL64" s="59">
        <v>45.8</v>
      </c>
      <c r="AM64" s="59" t="s">
        <v>279</v>
      </c>
      <c r="AN64" s="59"/>
      <c r="AO64" s="59"/>
      <c r="AP64" s="59"/>
      <c r="AQ64" s="64" t="s">
        <v>253</v>
      </c>
      <c r="AR64">
        <v>240</v>
      </c>
      <c r="AS64" s="59"/>
      <c r="BR64" s="61"/>
      <c r="BS64" s="61"/>
      <c r="BT64" s="61"/>
    </row>
    <row r="65" spans="7:45" ht="12.75">
      <c r="G65" s="64"/>
      <c r="AK65" s="59" t="s">
        <v>281</v>
      </c>
      <c r="AL65" s="59">
        <v>0.5</v>
      </c>
      <c r="AM65" s="59"/>
      <c r="AN65" s="59"/>
      <c r="AO65" s="59"/>
      <c r="AP65" s="59"/>
      <c r="AQ65" s="64" t="s">
        <v>154</v>
      </c>
      <c r="AR65" s="65">
        <f>0.26</f>
        <v>0.26</v>
      </c>
      <c r="AS65" s="59"/>
    </row>
    <row r="66" spans="7:45" ht="12.75">
      <c r="G66" s="64"/>
      <c r="AK66" s="59" t="s">
        <v>282</v>
      </c>
      <c r="AL66" s="59">
        <v>0.30000000000000004</v>
      </c>
      <c r="AM66" s="59"/>
      <c r="AN66" s="59"/>
      <c r="AO66" s="59"/>
      <c r="AP66" s="59"/>
      <c r="AQ66" s="64" t="s">
        <v>259</v>
      </c>
      <c r="AR66">
        <v>0.42</v>
      </c>
      <c r="AS66" s="59"/>
    </row>
    <row r="67" spans="7:45" ht="12.75">
      <c r="G67" s="64"/>
      <c r="AK67" s="59" t="s">
        <v>283</v>
      </c>
      <c r="AL67" s="59">
        <v>1.5</v>
      </c>
      <c r="AM67" s="59" t="s">
        <v>284</v>
      </c>
      <c r="AN67" s="59"/>
      <c r="AO67" s="59"/>
      <c r="AP67" s="59"/>
      <c r="AQ67" s="64" t="s">
        <v>263</v>
      </c>
      <c r="AR67">
        <v>1</v>
      </c>
      <c r="AS67" s="59"/>
    </row>
    <row r="68" spans="7:45" ht="12.75">
      <c r="G68" s="64"/>
      <c r="AK68" s="59" t="s">
        <v>285</v>
      </c>
      <c r="AL68" s="59">
        <f>(AL12*AL63+AL15*AL64)/AL11</f>
        <v>39.89</v>
      </c>
      <c r="AM68" s="59" t="s">
        <v>279</v>
      </c>
      <c r="AN68" s="59" t="s">
        <v>285</v>
      </c>
      <c r="AO68" s="59">
        <f>AL68</f>
        <v>39.89</v>
      </c>
      <c r="AP68" s="59" t="s">
        <v>279</v>
      </c>
      <c r="AQ68" s="59"/>
      <c r="AR68" s="59"/>
      <c r="AS68" s="59"/>
    </row>
    <row r="69" spans="7:45" ht="12.75">
      <c r="G69" s="64"/>
      <c r="AK69" s="59" t="s">
        <v>286</v>
      </c>
      <c r="AL69" s="71">
        <f>2000</f>
        <v>2000</v>
      </c>
      <c r="AM69" s="59" t="s">
        <v>287</v>
      </c>
      <c r="AN69" s="59"/>
      <c r="AO69" s="59"/>
      <c r="AP69" s="59"/>
      <c r="AQ69" s="59" t="s">
        <v>286</v>
      </c>
      <c r="AR69" s="71">
        <f aca="true" t="shared" si="0" ref="AR69:AR74">AL69</f>
        <v>2000</v>
      </c>
      <c r="AS69" s="59"/>
    </row>
    <row r="70" spans="7:45" ht="12.75">
      <c r="G70" s="64"/>
      <c r="AK70" s="77" t="s">
        <v>288</v>
      </c>
      <c r="AL70" s="71">
        <f>0.03</f>
        <v>0.03</v>
      </c>
      <c r="AM70" s="59"/>
      <c r="AN70" s="59"/>
      <c r="AO70" s="59"/>
      <c r="AP70" s="59"/>
      <c r="AQ70" s="77" t="s">
        <v>288</v>
      </c>
      <c r="AR70" s="71">
        <f t="shared" si="0"/>
        <v>0.03</v>
      </c>
      <c r="AS70" s="59"/>
    </row>
    <row r="71" spans="7:45" ht="12.75">
      <c r="G71" s="64"/>
      <c r="AK71" s="77" t="s">
        <v>289</v>
      </c>
      <c r="AL71" s="71">
        <f>0.008</f>
        <v>0.008</v>
      </c>
      <c r="AM71" s="59"/>
      <c r="AN71" s="77"/>
      <c r="AO71" s="71"/>
      <c r="AP71" s="59"/>
      <c r="AQ71" s="77" t="s">
        <v>289</v>
      </c>
      <c r="AR71" s="71">
        <f t="shared" si="0"/>
        <v>0.008</v>
      </c>
      <c r="AS71" s="59"/>
    </row>
    <row r="72" spans="2:45" ht="12.75">
      <c r="B72" s="57"/>
      <c r="AK72" s="77" t="s">
        <v>290</v>
      </c>
      <c r="AL72" s="71">
        <f>0.24</f>
        <v>0.24</v>
      </c>
      <c r="AM72" s="59"/>
      <c r="AN72" s="59"/>
      <c r="AO72" s="59"/>
      <c r="AP72" s="59"/>
      <c r="AQ72" s="77" t="s">
        <v>290</v>
      </c>
      <c r="AR72" s="71">
        <f t="shared" si="0"/>
        <v>0.24</v>
      </c>
      <c r="AS72" s="59"/>
    </row>
    <row r="73" spans="37:45" ht="12.75">
      <c r="AK73" s="77" t="s">
        <v>291</v>
      </c>
      <c r="AL73" s="59">
        <f>10</f>
        <v>10</v>
      </c>
      <c r="AM73" s="59"/>
      <c r="AN73" s="59"/>
      <c r="AO73" s="59"/>
      <c r="AP73" s="59"/>
      <c r="AQ73" s="77" t="s">
        <v>291</v>
      </c>
      <c r="AR73" s="71">
        <f t="shared" si="0"/>
        <v>10</v>
      </c>
      <c r="AS73" s="59"/>
    </row>
    <row r="74" spans="37:45" ht="12.75">
      <c r="AK74" s="77" t="s">
        <v>292</v>
      </c>
      <c r="AL74" s="71">
        <f>0.4</f>
        <v>0.4</v>
      </c>
      <c r="AM74" s="77" t="s">
        <v>293</v>
      </c>
      <c r="AN74" s="77"/>
      <c r="AO74" s="77"/>
      <c r="AP74" s="77"/>
      <c r="AQ74" s="77" t="s">
        <v>292</v>
      </c>
      <c r="AR74" s="71">
        <f t="shared" si="0"/>
        <v>0.4</v>
      </c>
      <c r="AS74" s="77"/>
    </row>
    <row r="75" spans="37:45" ht="12.75">
      <c r="AK75" s="77" t="s">
        <v>294</v>
      </c>
      <c r="AL75" s="59">
        <f>(AL12*AL80+AL15*AL81)/AL11</f>
        <v>13.01</v>
      </c>
      <c r="AM75" s="59"/>
      <c r="AN75" s="59" t="str">
        <f>AK75</f>
        <v>IFE f-adj</v>
      </c>
      <c r="AO75" s="59">
        <f>AL75</f>
        <v>13.01</v>
      </c>
      <c r="AP75" s="59"/>
      <c r="AQ75" s="59"/>
      <c r="AR75" s="59"/>
      <c r="AS75" s="59"/>
    </row>
    <row r="76" spans="37:45" ht="12.75">
      <c r="AK76" s="77" t="s">
        <v>295</v>
      </c>
      <c r="AL76" s="59">
        <f>(AL12*AL82+AL15*AL83)/AL11</f>
        <v>31.179999999999996</v>
      </c>
      <c r="AM76" s="59"/>
      <c r="AN76" s="77" t="s">
        <v>295</v>
      </c>
      <c r="AO76" s="59">
        <f>AL76</f>
        <v>31.179999999999996</v>
      </c>
      <c r="AP76" s="59"/>
      <c r="AQ76" s="59"/>
      <c r="AR76" s="59"/>
      <c r="AS76" s="59"/>
    </row>
    <row r="77" spans="37:45" ht="12.75">
      <c r="AK77" s="77" t="s">
        <v>296</v>
      </c>
      <c r="AL77" s="59">
        <f>(AL12*AL84+AL15*AL85)/AL11</f>
        <v>43.37500000000001</v>
      </c>
      <c r="AM77" s="59"/>
      <c r="AN77" s="77" t="s">
        <v>296</v>
      </c>
      <c r="AO77" s="59">
        <f>AL77</f>
        <v>43.37500000000001</v>
      </c>
      <c r="AP77" s="59"/>
      <c r="AQ77" s="59"/>
      <c r="AR77" s="59"/>
      <c r="AS77" s="59"/>
    </row>
    <row r="78" spans="2:45" ht="12.75">
      <c r="B78" s="57"/>
      <c r="AK78" s="77" t="s">
        <v>297</v>
      </c>
      <c r="AL78" s="59">
        <f>(AL12*AL86+AL15*AL87)/AL11</f>
        <v>205.275</v>
      </c>
      <c r="AM78" s="59"/>
      <c r="AN78" s="77" t="s">
        <v>297</v>
      </c>
      <c r="AO78" s="59">
        <f>AL78</f>
        <v>205.275</v>
      </c>
      <c r="AP78" s="59"/>
      <c r="AQ78" s="59" t="s">
        <v>298</v>
      </c>
      <c r="AR78" s="59">
        <v>53</v>
      </c>
      <c r="AS78" s="59"/>
    </row>
    <row r="79" spans="37:45" ht="12.75">
      <c r="AK79" s="77" t="s">
        <v>299</v>
      </c>
      <c r="AL79" s="59">
        <f>(AL12*AL88+AL15*AL89)/AL11</f>
        <v>24.22</v>
      </c>
      <c r="AM79" s="59"/>
      <c r="AN79" s="77" t="s">
        <v>299</v>
      </c>
      <c r="AO79" s="59">
        <f>AL79</f>
        <v>24.22</v>
      </c>
      <c r="AP79" s="59"/>
      <c r="AQ79" s="59" t="s">
        <v>300</v>
      </c>
      <c r="AR79" s="59">
        <v>92</v>
      </c>
      <c r="AS79" s="59"/>
    </row>
    <row r="80" spans="37:45" ht="12.75">
      <c r="AK80" s="77" t="s">
        <v>301</v>
      </c>
      <c r="AL80" s="59">
        <v>2.3</v>
      </c>
      <c r="AM80" s="59"/>
      <c r="AN80" s="59"/>
      <c r="AO80" s="59"/>
      <c r="AP80" s="59"/>
      <c r="AQ80" s="59" t="s">
        <v>302</v>
      </c>
      <c r="AR80" s="59">
        <v>1</v>
      </c>
      <c r="AS80" s="59"/>
    </row>
    <row r="81" spans="37:45" ht="12.75">
      <c r="AK81" s="77" t="s">
        <v>303</v>
      </c>
      <c r="AL81" s="59">
        <v>14.9</v>
      </c>
      <c r="AM81" s="59"/>
      <c r="AN81" s="59"/>
      <c r="AO81" s="59"/>
      <c r="AP81" s="59"/>
      <c r="AQ81" s="59" t="s">
        <v>304</v>
      </c>
      <c r="AR81" s="59">
        <v>11.4</v>
      </c>
      <c r="AS81" s="59"/>
    </row>
    <row r="82" spans="37:45" ht="12.75">
      <c r="AK82" s="77" t="s">
        <v>305</v>
      </c>
      <c r="AL82" s="59">
        <v>5</v>
      </c>
      <c r="AM82" s="59"/>
      <c r="AN82" s="59"/>
      <c r="AO82" s="59"/>
      <c r="AP82" s="59"/>
      <c r="AQ82" s="59"/>
      <c r="AR82" s="59"/>
      <c r="AS82" s="59"/>
    </row>
    <row r="83" spans="37:45" ht="12.75">
      <c r="AK83" s="77" t="s">
        <v>306</v>
      </c>
      <c r="AL83" s="59">
        <v>35.8</v>
      </c>
      <c r="AM83" s="59"/>
      <c r="AN83" s="59"/>
      <c r="AO83" s="59"/>
      <c r="AP83" s="59"/>
      <c r="AQ83" s="59"/>
      <c r="AR83" s="59"/>
      <c r="AS83" s="59"/>
    </row>
    <row r="84" spans="37:45" ht="12.75">
      <c r="AK84" s="77" t="s">
        <v>307</v>
      </c>
      <c r="AL84" s="59">
        <v>4.7</v>
      </c>
      <c r="AM84" s="59"/>
      <c r="AN84" s="59"/>
      <c r="AO84" s="59"/>
      <c r="AP84" s="59"/>
      <c r="AQ84" s="59"/>
      <c r="AR84" s="59"/>
      <c r="AS84" s="59"/>
    </row>
    <row r="85" spans="37:45" ht="12.75">
      <c r="AK85" s="77" t="s">
        <v>308</v>
      </c>
      <c r="AL85" s="59">
        <v>50.2</v>
      </c>
      <c r="AM85" s="59"/>
      <c r="AN85" s="59"/>
      <c r="AO85" s="59"/>
      <c r="AP85" s="59"/>
      <c r="AQ85" s="59"/>
      <c r="AR85" s="59"/>
      <c r="AS85" s="59"/>
    </row>
    <row r="86" spans="37:45" ht="12.75">
      <c r="AK86" s="77" t="s">
        <v>309</v>
      </c>
      <c r="AL86" s="59">
        <v>96.9</v>
      </c>
      <c r="AM86" s="59"/>
      <c r="AN86" s="59"/>
      <c r="AO86" s="59"/>
      <c r="AP86" s="59"/>
      <c r="AQ86" s="59"/>
      <c r="AR86" s="59"/>
      <c r="AS86" s="59"/>
    </row>
    <row r="87" spans="37:45" ht="12.75">
      <c r="AK87" s="77" t="s">
        <v>310</v>
      </c>
      <c r="AL87" s="59">
        <v>224.4</v>
      </c>
      <c r="AM87" s="59"/>
      <c r="AN87" s="59"/>
      <c r="AO87" s="59"/>
      <c r="AP87" s="59"/>
      <c r="AQ87" s="59"/>
      <c r="AR87" s="59"/>
      <c r="AS87" s="59"/>
    </row>
    <row r="88" spans="37:45" ht="12.75">
      <c r="AK88" s="77" t="s">
        <v>311</v>
      </c>
      <c r="AL88" s="59">
        <v>4.5</v>
      </c>
      <c r="AM88" s="59"/>
      <c r="AN88" s="59"/>
      <c r="AO88" s="59"/>
      <c r="AP88" s="59"/>
      <c r="AQ88" s="59"/>
      <c r="AR88" s="59"/>
      <c r="AS88" s="59"/>
    </row>
    <row r="89" spans="37:45" ht="12.75">
      <c r="AK89" s="77" t="s">
        <v>312</v>
      </c>
      <c r="AL89" s="59">
        <v>27.7</v>
      </c>
      <c r="AM89" s="59"/>
      <c r="AN89" s="59"/>
      <c r="AO89" s="59"/>
      <c r="AP89" s="59"/>
      <c r="AQ89" s="59"/>
      <c r="AR89" s="59"/>
      <c r="AS89" s="59"/>
    </row>
    <row r="90" spans="37:45" ht="12.75">
      <c r="AK90" s="77" t="s">
        <v>313</v>
      </c>
      <c r="AL90" s="59">
        <v>0.2</v>
      </c>
      <c r="AM90" s="77" t="s">
        <v>314</v>
      </c>
      <c r="AN90" s="77"/>
      <c r="AO90" s="77"/>
      <c r="AP90" s="77"/>
      <c r="AQ90" s="77"/>
      <c r="AR90" s="77"/>
      <c r="AS90" s="77"/>
    </row>
    <row r="91" spans="37:45" ht="12.75">
      <c r="AK91" s="77" t="s">
        <v>315</v>
      </c>
      <c r="AL91" s="59">
        <v>0.022</v>
      </c>
      <c r="AM91" s="77" t="s">
        <v>314</v>
      </c>
      <c r="AN91" s="77"/>
      <c r="AO91" s="77"/>
      <c r="AP91" s="77"/>
      <c r="AQ91" s="77"/>
      <c r="AR91" s="77"/>
      <c r="AS91" s="77"/>
    </row>
    <row r="92" spans="37:45" ht="12.75">
      <c r="AK92" s="77" t="s">
        <v>316</v>
      </c>
      <c r="AL92" s="59">
        <v>53</v>
      </c>
      <c r="AM92" s="77" t="s">
        <v>65</v>
      </c>
      <c r="AN92" s="77"/>
      <c r="AO92" s="77"/>
      <c r="AP92" s="77"/>
      <c r="AQ92" s="77"/>
      <c r="AR92" s="77"/>
      <c r="AS92" s="77"/>
    </row>
    <row r="93" spans="37:45" ht="12.75">
      <c r="AK93" s="77" t="s">
        <v>317</v>
      </c>
      <c r="AL93" s="59">
        <v>11.77</v>
      </c>
      <c r="AM93" s="77" t="s">
        <v>314</v>
      </c>
      <c r="AN93" s="77"/>
      <c r="AO93" s="77"/>
      <c r="AP93" s="77"/>
      <c r="AQ93" s="77"/>
      <c r="AR93" s="77"/>
      <c r="AS93" s="77"/>
    </row>
    <row r="94" spans="37:45" ht="12.75">
      <c r="AK94" s="77" t="s">
        <v>318</v>
      </c>
      <c r="AL94" s="59">
        <v>0.39</v>
      </c>
      <c r="AM94" s="77" t="s">
        <v>314</v>
      </c>
      <c r="AN94" s="77"/>
      <c r="AO94" s="77"/>
      <c r="AP94" s="77"/>
      <c r="AQ94" s="77"/>
      <c r="AR94" s="77"/>
      <c r="AS94" s="77"/>
    </row>
    <row r="95" spans="37:45" ht="12.75">
      <c r="AK95" s="77" t="s">
        <v>319</v>
      </c>
      <c r="AL95" s="59">
        <v>92</v>
      </c>
      <c r="AM95" s="77" t="s">
        <v>65</v>
      </c>
      <c r="AN95" s="77"/>
      <c r="AO95" s="77"/>
      <c r="AP95" s="77"/>
      <c r="AQ95" s="77"/>
      <c r="AR95" s="77"/>
      <c r="AS95" s="77"/>
    </row>
    <row r="96" spans="37:45" ht="12.75">
      <c r="AK96" s="77" t="s">
        <v>320</v>
      </c>
      <c r="AL96" s="59">
        <v>16.9</v>
      </c>
      <c r="AM96" s="77" t="s">
        <v>314</v>
      </c>
      <c r="AN96" s="77"/>
      <c r="AO96" s="77"/>
      <c r="AP96" s="77"/>
      <c r="AQ96" s="77"/>
      <c r="AR96" s="77"/>
      <c r="AS96" s="77"/>
    </row>
    <row r="97" spans="37:45" ht="12.75">
      <c r="AK97" s="77" t="s">
        <v>321</v>
      </c>
      <c r="AL97" s="59">
        <v>0.41</v>
      </c>
      <c r="AM97" s="77" t="s">
        <v>314</v>
      </c>
      <c r="AN97" s="77"/>
      <c r="AO97" s="77"/>
      <c r="AP97" s="77"/>
      <c r="AQ97" s="77"/>
      <c r="AR97" s="77"/>
      <c r="AS97" s="77"/>
    </row>
    <row r="98" spans="37:45" ht="12.75">
      <c r="AK98" s="77" t="s">
        <v>322</v>
      </c>
      <c r="AL98" s="59">
        <v>11.4</v>
      </c>
      <c r="AM98" s="77" t="s">
        <v>65</v>
      </c>
      <c r="AN98" s="77"/>
      <c r="AO98" s="77"/>
      <c r="AP98" s="77"/>
      <c r="AQ98" s="77"/>
      <c r="AR98" s="77"/>
      <c r="AS98" s="77"/>
    </row>
    <row r="99" spans="37:45" ht="12.75">
      <c r="AK99" s="77" t="s">
        <v>323</v>
      </c>
      <c r="AL99" s="59">
        <v>4.7</v>
      </c>
      <c r="AM99" s="77" t="s">
        <v>314</v>
      </c>
      <c r="AN99" s="77"/>
      <c r="AO99" s="77"/>
      <c r="AP99" s="77"/>
      <c r="AQ99" s="77"/>
      <c r="AR99" s="77"/>
      <c r="AS99" s="77"/>
    </row>
    <row r="100" spans="37:45" ht="12.75">
      <c r="AK100" s="77" t="s">
        <v>324</v>
      </c>
      <c r="AL100" s="59">
        <v>0.37</v>
      </c>
      <c r="AM100" s="77" t="s">
        <v>314</v>
      </c>
      <c r="AN100" s="77"/>
      <c r="AO100" s="77"/>
      <c r="AP100" s="77"/>
      <c r="AQ100" s="77"/>
      <c r="AR100" s="77"/>
      <c r="AS100" s="77"/>
    </row>
    <row r="101" spans="37:38" ht="12.75">
      <c r="AK101" t="s">
        <v>325</v>
      </c>
      <c r="AL101">
        <v>0.26</v>
      </c>
    </row>
    <row r="102" spans="37:38" ht="12.75">
      <c r="AK102" t="s">
        <v>326</v>
      </c>
      <c r="AL102">
        <v>0.25</v>
      </c>
    </row>
    <row r="104" spans="37:38" ht="12.75">
      <c r="AK104" t="s">
        <v>327</v>
      </c>
      <c r="AL104">
        <v>1</v>
      </c>
    </row>
    <row r="105" spans="37:38" ht="12.75">
      <c r="AK105" t="s">
        <v>328</v>
      </c>
      <c r="AL105">
        <v>1</v>
      </c>
    </row>
    <row r="106" spans="37:38" ht="12.75">
      <c r="AK106" t="s">
        <v>329</v>
      </c>
      <c r="AL106">
        <v>1</v>
      </c>
    </row>
    <row r="107" spans="37:38" ht="12.75">
      <c r="AK107" t="s">
        <v>330</v>
      </c>
      <c r="AL107">
        <v>1</v>
      </c>
    </row>
    <row r="108" spans="37:38" ht="12.75">
      <c r="AK108" t="s">
        <v>331</v>
      </c>
      <c r="AL108">
        <v>1</v>
      </c>
    </row>
    <row r="109" spans="37:38" ht="12.75">
      <c r="AK109" t="s">
        <v>332</v>
      </c>
      <c r="AL109">
        <v>1</v>
      </c>
    </row>
    <row r="110" spans="37:38" ht="12.75">
      <c r="AK110" t="s">
        <v>333</v>
      </c>
      <c r="AL110">
        <v>1</v>
      </c>
    </row>
    <row r="111" spans="37:38" ht="12.75">
      <c r="AK111" t="s">
        <v>334</v>
      </c>
      <c r="AL111">
        <v>1</v>
      </c>
    </row>
    <row r="112" spans="37:38" ht="12.75">
      <c r="AK112" t="s">
        <v>335</v>
      </c>
      <c r="AL112">
        <v>1</v>
      </c>
    </row>
    <row r="113" spans="37:38" ht="12.75">
      <c r="AK113" t="s">
        <v>336</v>
      </c>
      <c r="AL113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Manning, Karessa L.</dc:creator>
  <cp:keywords/>
  <dc:description/>
  <cp:lastModifiedBy>Manning, Karessa L.</cp:lastModifiedBy>
  <dcterms:created xsi:type="dcterms:W3CDTF">2019-06-17T18:57:44Z</dcterms:created>
  <dcterms:modified xsi:type="dcterms:W3CDTF">2019-06-17T18:57:44Z</dcterms:modified>
  <cp:category/>
  <cp:version/>
  <cp:contentType/>
  <cp:contentStatus/>
</cp:coreProperties>
</file>