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20730" windowHeight="10035" activeTab="4"/>
  </bookViews>
  <sheets>
    <sheet name="Soil &amp; Air" sheetId="1" r:id="rId1"/>
    <sheet name="Consumption of Game" sheetId="2" r:id="rId2"/>
    <sheet name="Surface Water" sheetId="3" r:id="rId3"/>
    <sheet name="2-D External Exposure" sheetId="4" r:id="rId4"/>
    <sheet name="Isotope Specific Factors" sheetId="5" r:id="rId5"/>
  </sheets>
  <calcPr calcId="145621"/>
</workbook>
</file>

<file path=xl/calcChain.xml><?xml version="1.0" encoding="utf-8"?>
<calcChain xmlns="http://schemas.openxmlformats.org/spreadsheetml/2006/main">
  <c r="L5" i="4" l="1"/>
  <c r="L4" i="4"/>
  <c r="L3" i="4"/>
  <c r="L2" i="4"/>
  <c r="I2" i="4"/>
  <c r="J2" i="4"/>
  <c r="K2" i="4"/>
  <c r="I3" i="4"/>
  <c r="J3" i="4"/>
  <c r="K3" i="4"/>
  <c r="I4" i="4"/>
  <c r="J4" i="4"/>
  <c r="K4" i="4"/>
  <c r="I5" i="4"/>
  <c r="J5" i="4"/>
  <c r="K5" i="4"/>
  <c r="H5" i="4"/>
  <c r="H4" i="4"/>
  <c r="H3" i="4"/>
  <c r="H2" i="4"/>
  <c r="I5" i="3"/>
  <c r="I3" i="3"/>
  <c r="I4" i="3"/>
  <c r="I2" i="3"/>
  <c r="H5" i="3"/>
  <c r="H3" i="3"/>
  <c r="H4" i="3"/>
  <c r="H2" i="3"/>
  <c r="H5" i="2"/>
  <c r="H4" i="2"/>
  <c r="H3" i="2"/>
  <c r="H2" i="2"/>
  <c r="K4" i="1"/>
  <c r="J5" i="1"/>
  <c r="J4" i="1"/>
  <c r="J3" i="1"/>
  <c r="J2" i="1"/>
  <c r="I5" i="1"/>
  <c r="I4" i="1"/>
  <c r="I3" i="1"/>
  <c r="I2" i="1"/>
  <c r="H4" i="1"/>
  <c r="H5" i="1"/>
  <c r="H3" i="1"/>
  <c r="H2" i="1"/>
  <c r="I7" i="5"/>
  <c r="K5" i="1" s="1"/>
  <c r="I4" i="5"/>
  <c r="K3" i="1" s="1"/>
  <c r="I3" i="5"/>
  <c r="K2" i="1" s="1"/>
  <c r="T46" i="4" l="1"/>
  <c r="M46" i="4"/>
  <c r="F46" i="4"/>
  <c r="T45" i="4"/>
  <c r="M45" i="4"/>
  <c r="F45" i="4"/>
  <c r="T44" i="4"/>
  <c r="M44" i="4"/>
  <c r="F44" i="4"/>
  <c r="T43" i="4"/>
  <c r="M43" i="4"/>
  <c r="F43" i="4"/>
  <c r="T42" i="4"/>
  <c r="M42" i="4"/>
  <c r="F42" i="4"/>
  <c r="T36" i="4"/>
  <c r="M36" i="4"/>
  <c r="F36" i="4"/>
  <c r="T35" i="4"/>
  <c r="M35" i="4"/>
  <c r="F35" i="4"/>
  <c r="T34" i="4"/>
  <c r="M34" i="4"/>
  <c r="F34" i="4"/>
  <c r="T33" i="4"/>
  <c r="M33" i="4"/>
  <c r="F33" i="4"/>
  <c r="T32" i="4"/>
  <c r="M32" i="4"/>
  <c r="F32" i="4"/>
  <c r="T31" i="4"/>
  <c r="M31" i="4"/>
  <c r="F31" i="4"/>
  <c r="T30" i="4"/>
  <c r="M30" i="4"/>
  <c r="F30" i="4"/>
  <c r="T29" i="4"/>
  <c r="M29" i="4"/>
  <c r="F29" i="4"/>
  <c r="T28" i="4"/>
  <c r="M28" i="4"/>
  <c r="F28" i="4"/>
  <c r="T27" i="4"/>
  <c r="M27" i="4"/>
  <c r="F27" i="4"/>
  <c r="F5" i="4"/>
  <c r="S23" i="4" s="1"/>
  <c r="F4" i="4"/>
  <c r="G4" i="4" s="1"/>
  <c r="F3" i="4"/>
  <c r="T17" i="4" s="1"/>
  <c r="F2" i="4"/>
  <c r="U14" i="4" s="1"/>
  <c r="F10" i="3"/>
  <c r="G18" i="3"/>
  <c r="F18" i="3"/>
  <c r="E18" i="3"/>
  <c r="G15" i="3"/>
  <c r="E15" i="3"/>
  <c r="G12" i="3"/>
  <c r="F12" i="3"/>
  <c r="E12" i="3"/>
  <c r="F9" i="3"/>
  <c r="G9" i="3"/>
  <c r="E9" i="3"/>
  <c r="G30" i="3"/>
  <c r="G33" i="3"/>
  <c r="G32" i="3"/>
  <c r="G31" i="3"/>
  <c r="G28" i="3"/>
  <c r="G27" i="3"/>
  <c r="G26" i="3"/>
  <c r="G25" i="3"/>
  <c r="G24" i="3"/>
  <c r="G23" i="3"/>
  <c r="G22" i="3"/>
  <c r="B14" i="3"/>
  <c r="F19" i="3" s="1"/>
  <c r="F20" i="3" s="1"/>
  <c r="B3" i="3"/>
  <c r="E16" i="3" s="1"/>
  <c r="F5" i="3"/>
  <c r="F4" i="3"/>
  <c r="F3" i="3"/>
  <c r="F2" i="3"/>
  <c r="G2" i="3" s="1"/>
  <c r="L20" i="2"/>
  <c r="K20" i="2"/>
  <c r="J20" i="2"/>
  <c r="L17" i="2"/>
  <c r="K17" i="2"/>
  <c r="J17" i="2"/>
  <c r="L14" i="2"/>
  <c r="K14" i="2"/>
  <c r="J14" i="2"/>
  <c r="L11" i="2"/>
  <c r="K11" i="2"/>
  <c r="J11" i="2"/>
  <c r="E20" i="2"/>
  <c r="E17" i="2"/>
  <c r="E14" i="2"/>
  <c r="E11" i="2"/>
  <c r="E12" i="2" s="1"/>
  <c r="G20" i="2"/>
  <c r="F20" i="2"/>
  <c r="G14" i="2"/>
  <c r="F14" i="2"/>
  <c r="G11" i="2"/>
  <c r="F11" i="2"/>
  <c r="J19" i="2"/>
  <c r="J16" i="2"/>
  <c r="J13" i="2"/>
  <c r="J15" i="2" s="1"/>
  <c r="J10" i="2"/>
  <c r="E19" i="2"/>
  <c r="E16" i="2"/>
  <c r="E13" i="2"/>
  <c r="E10" i="2"/>
  <c r="L34" i="2"/>
  <c r="L33" i="2"/>
  <c r="L32" i="2"/>
  <c r="L31" i="2"/>
  <c r="L30" i="2"/>
  <c r="L29" i="2"/>
  <c r="L28" i="2"/>
  <c r="L27" i="2"/>
  <c r="L26" i="2"/>
  <c r="L25" i="2"/>
  <c r="L24" i="2"/>
  <c r="L23" i="2"/>
  <c r="G24" i="2"/>
  <c r="G25" i="2"/>
  <c r="G26" i="2"/>
  <c r="G27" i="2"/>
  <c r="G28" i="2"/>
  <c r="G29" i="2"/>
  <c r="G32" i="2"/>
  <c r="G33" i="2"/>
  <c r="G34" i="2"/>
  <c r="G23" i="2"/>
  <c r="F5" i="2"/>
  <c r="G5" i="2" s="1"/>
  <c r="F4" i="2"/>
  <c r="G4" i="2" s="1"/>
  <c r="F3" i="2"/>
  <c r="G3" i="2" s="1"/>
  <c r="F2" i="2"/>
  <c r="G2" i="2" s="1"/>
  <c r="B11" i="1"/>
  <c r="N21" i="1" s="1"/>
  <c r="B4" i="1"/>
  <c r="B26" i="1"/>
  <c r="B28" i="1"/>
  <c r="B27" i="1"/>
  <c r="O47" i="1"/>
  <c r="O46" i="1"/>
  <c r="O45" i="1"/>
  <c r="O44" i="1"/>
  <c r="O43" i="1"/>
  <c r="O42" i="1"/>
  <c r="O41" i="1"/>
  <c r="O39" i="1"/>
  <c r="O38" i="1"/>
  <c r="H38" i="1"/>
  <c r="H37" i="1"/>
  <c r="O36" i="1"/>
  <c r="H36" i="1"/>
  <c r="O35" i="1"/>
  <c r="H35" i="1"/>
  <c r="O34" i="1"/>
  <c r="H34" i="1"/>
  <c r="O33" i="1"/>
  <c r="O32" i="1"/>
  <c r="H32" i="1"/>
  <c r="O31" i="1"/>
  <c r="O30" i="1"/>
  <c r="H30" i="1"/>
  <c r="O29" i="1"/>
  <c r="H29" i="1"/>
  <c r="O28" i="1"/>
  <c r="H28" i="1"/>
  <c r="O27" i="1"/>
  <c r="H27" i="1"/>
  <c r="O26" i="1"/>
  <c r="H26" i="1"/>
  <c r="O25" i="1"/>
  <c r="H25" i="1"/>
  <c r="O24" i="1"/>
  <c r="H24" i="1"/>
  <c r="H23" i="1"/>
  <c r="P20" i="1"/>
  <c r="O20" i="1"/>
  <c r="N20" i="1"/>
  <c r="M20" i="1"/>
  <c r="H19" i="1"/>
  <c r="P17" i="1"/>
  <c r="N17" i="1"/>
  <c r="M17" i="1"/>
  <c r="H16" i="1"/>
  <c r="P14" i="1"/>
  <c r="O14" i="1"/>
  <c r="N14" i="1"/>
  <c r="M14" i="1"/>
  <c r="H13" i="1"/>
  <c r="P11" i="1"/>
  <c r="O11" i="1"/>
  <c r="N11" i="1"/>
  <c r="M11" i="1"/>
  <c r="H10" i="1"/>
  <c r="F5" i="1"/>
  <c r="K20" i="1" s="1"/>
  <c r="F4" i="1"/>
  <c r="F16" i="1" s="1"/>
  <c r="F3" i="1"/>
  <c r="K14" i="1" s="1"/>
  <c r="F2" i="1"/>
  <c r="G10" i="1" s="1"/>
  <c r="J18" i="2" l="1"/>
  <c r="K16" i="2" s="1"/>
  <c r="K18" i="2" s="1"/>
  <c r="J21" i="2"/>
  <c r="L19" i="2" s="1"/>
  <c r="O21" i="1"/>
  <c r="O22" i="1" s="1"/>
  <c r="F13" i="3"/>
  <c r="E17" i="3"/>
  <c r="G16" i="3" s="1"/>
  <c r="G17" i="3" s="1"/>
  <c r="E10" i="3"/>
  <c r="E13" i="3"/>
  <c r="E14" i="3" s="1"/>
  <c r="E19" i="3"/>
  <c r="E20" i="3" s="1"/>
  <c r="G19" i="3" s="1"/>
  <c r="G20" i="3" s="1"/>
  <c r="N18" i="1"/>
  <c r="N19" i="1" s="1"/>
  <c r="P18" i="1" s="1"/>
  <c r="P19" i="1" s="1"/>
  <c r="L14" i="1"/>
  <c r="N12" i="1"/>
  <c r="N13" i="1" s="1"/>
  <c r="N15" i="1"/>
  <c r="N16" i="1" s="1"/>
  <c r="O12" i="1"/>
  <c r="O13" i="1" s="1"/>
  <c r="O15" i="1"/>
  <c r="O16" i="1" s="1"/>
  <c r="U17" i="4"/>
  <c r="G5" i="4"/>
  <c r="T24" i="4" s="1"/>
  <c r="D23" i="4"/>
  <c r="K17" i="4"/>
  <c r="K23" i="4"/>
  <c r="L17" i="4"/>
  <c r="R23" i="4"/>
  <c r="E17" i="4"/>
  <c r="Q17" i="4"/>
  <c r="E23" i="4"/>
  <c r="L23" i="4"/>
  <c r="T23" i="4"/>
  <c r="F17" i="4"/>
  <c r="R17" i="4"/>
  <c r="F23" i="4"/>
  <c r="N23" i="4"/>
  <c r="U23" i="4"/>
  <c r="J23" i="4"/>
  <c r="Q23" i="4"/>
  <c r="L14" i="4"/>
  <c r="G2" i="4"/>
  <c r="C14" i="4"/>
  <c r="M14" i="4"/>
  <c r="D14" i="4"/>
  <c r="J14" i="4"/>
  <c r="N14" i="4"/>
  <c r="T14" i="4"/>
  <c r="C17" i="4"/>
  <c r="G17" i="4"/>
  <c r="M17" i="4"/>
  <c r="S17" i="4"/>
  <c r="F14" i="4"/>
  <c r="R14" i="4"/>
  <c r="G14" i="4"/>
  <c r="S14" i="4"/>
  <c r="G3" i="4"/>
  <c r="E14" i="4"/>
  <c r="K14" i="4"/>
  <c r="Q14" i="4"/>
  <c r="D17" i="4"/>
  <c r="J17" i="4"/>
  <c r="N17" i="4"/>
  <c r="C23" i="4"/>
  <c r="G23" i="4"/>
  <c r="M23" i="4"/>
  <c r="D24" i="4"/>
  <c r="F14" i="3"/>
  <c r="F11" i="3"/>
  <c r="E11" i="3"/>
  <c r="G3" i="3"/>
  <c r="G4" i="3"/>
  <c r="G5" i="3"/>
  <c r="L21" i="2"/>
  <c r="J12" i="2"/>
  <c r="L10" i="2" s="1"/>
  <c r="L12" i="2" s="1"/>
  <c r="E21" i="2"/>
  <c r="G19" i="2" s="1"/>
  <c r="G21" i="2" s="1"/>
  <c r="E18" i="2"/>
  <c r="E15" i="2"/>
  <c r="G13" i="2" s="1"/>
  <c r="G15" i="2" s="1"/>
  <c r="F10" i="2"/>
  <c r="F12" i="2" s="1"/>
  <c r="G10" i="2"/>
  <c r="G12" i="2" s="1"/>
  <c r="K19" i="2"/>
  <c r="K21" i="2" s="1"/>
  <c r="L16" i="2"/>
  <c r="L18" i="2" s="1"/>
  <c r="L13" i="2"/>
  <c r="L15" i="2" s="1"/>
  <c r="K13" i="2"/>
  <c r="K15" i="2" s="1"/>
  <c r="N22" i="1"/>
  <c r="G5" i="1"/>
  <c r="E13" i="1"/>
  <c r="G3" i="1"/>
  <c r="L20" i="1"/>
  <c r="G19" i="1"/>
  <c r="F19" i="1"/>
  <c r="E10" i="1"/>
  <c r="K11" i="1"/>
  <c r="G2" i="1"/>
  <c r="G4" i="1"/>
  <c r="F10" i="1"/>
  <c r="L11" i="1"/>
  <c r="F13" i="1"/>
  <c r="K17" i="1"/>
  <c r="G13" i="1"/>
  <c r="E19" i="1"/>
  <c r="P15" i="1" l="1"/>
  <c r="P16" i="1" s="1"/>
  <c r="F24" i="4"/>
  <c r="E24" i="4"/>
  <c r="E25" i="4" s="1"/>
  <c r="M24" i="4"/>
  <c r="M25" i="4" s="1"/>
  <c r="K24" i="4"/>
  <c r="D25" i="4"/>
  <c r="G24" i="4"/>
  <c r="G25" i="4" s="1"/>
  <c r="N24" i="4"/>
  <c r="C24" i="4"/>
  <c r="C25" i="4" s="1"/>
  <c r="T25" i="4"/>
  <c r="J24" i="4"/>
  <c r="J25" i="4" s="1"/>
  <c r="R24" i="4"/>
  <c r="R25" i="4" s="1"/>
  <c r="Q24" i="4"/>
  <c r="Q25" i="4" s="1"/>
  <c r="S24" i="4"/>
  <c r="S25" i="4" s="1"/>
  <c r="L24" i="4"/>
  <c r="L25" i="4" s="1"/>
  <c r="U24" i="4"/>
  <c r="U25" i="4" s="1"/>
  <c r="G13" i="3"/>
  <c r="G14" i="3" s="1"/>
  <c r="G10" i="3"/>
  <c r="G11" i="3" s="1"/>
  <c r="F13" i="2"/>
  <c r="F15" i="2" s="1"/>
  <c r="P12" i="1"/>
  <c r="P13" i="1" s="1"/>
  <c r="K18" i="1"/>
  <c r="K19" i="1" s="1"/>
  <c r="M18" i="1" s="1"/>
  <c r="M19" i="1" s="1"/>
  <c r="F17" i="1"/>
  <c r="F18" i="1" s="1"/>
  <c r="H17" i="1" s="1"/>
  <c r="H18" i="1" s="1"/>
  <c r="L12" i="1"/>
  <c r="L13" i="1" s="1"/>
  <c r="G11" i="1"/>
  <c r="G12" i="1" s="1"/>
  <c r="E11" i="1"/>
  <c r="K12" i="1"/>
  <c r="K13" i="1" s="1"/>
  <c r="F11" i="1"/>
  <c r="F12" i="1" s="1"/>
  <c r="K15" i="1"/>
  <c r="K16" i="1" s="1"/>
  <c r="E14" i="1"/>
  <c r="E15" i="1" s="1"/>
  <c r="L15" i="1"/>
  <c r="L16" i="1" s="1"/>
  <c r="F14" i="1"/>
  <c r="F15" i="1" s="1"/>
  <c r="G14" i="1"/>
  <c r="G15" i="1" s="1"/>
  <c r="K21" i="1"/>
  <c r="K22" i="1" s="1"/>
  <c r="F20" i="1"/>
  <c r="G20" i="1"/>
  <c r="G21" i="1" s="1"/>
  <c r="E20" i="1"/>
  <c r="E21" i="1" s="1"/>
  <c r="L21" i="1"/>
  <c r="L22" i="1" s="1"/>
  <c r="M21" i="1" s="1"/>
  <c r="M22" i="1" s="1"/>
  <c r="F25" i="4"/>
  <c r="K25" i="4"/>
  <c r="N25" i="4"/>
  <c r="U18" i="4"/>
  <c r="U19" i="4" s="1"/>
  <c r="Q18" i="4"/>
  <c r="Q19" i="4" s="1"/>
  <c r="K18" i="4"/>
  <c r="K19" i="4" s="1"/>
  <c r="E18" i="4"/>
  <c r="E19" i="4" s="1"/>
  <c r="G18" i="4"/>
  <c r="G19" i="4" s="1"/>
  <c r="R18" i="4"/>
  <c r="R19" i="4" s="1"/>
  <c r="L18" i="4"/>
  <c r="L19" i="4" s="1"/>
  <c r="T18" i="4"/>
  <c r="T19" i="4" s="1"/>
  <c r="N18" i="4"/>
  <c r="N19" i="4" s="1"/>
  <c r="J18" i="4"/>
  <c r="J19" i="4" s="1"/>
  <c r="D18" i="4"/>
  <c r="D19" i="4" s="1"/>
  <c r="S18" i="4"/>
  <c r="S19" i="4" s="1"/>
  <c r="M18" i="4"/>
  <c r="M19" i="4" s="1"/>
  <c r="C18" i="4"/>
  <c r="C19" i="4" s="1"/>
  <c r="F18" i="4"/>
  <c r="F19" i="4" s="1"/>
  <c r="R15" i="4"/>
  <c r="R16" i="4" s="1"/>
  <c r="L15" i="4"/>
  <c r="L16" i="4" s="1"/>
  <c r="F15" i="4"/>
  <c r="F16" i="4" s="1"/>
  <c r="T15" i="4"/>
  <c r="T16" i="4" s="1"/>
  <c r="D15" i="4"/>
  <c r="D16" i="4" s="1"/>
  <c r="S15" i="4"/>
  <c r="S16" i="4" s="1"/>
  <c r="G15" i="4"/>
  <c r="G16" i="4" s="1"/>
  <c r="U15" i="4"/>
  <c r="U16" i="4" s="1"/>
  <c r="Q15" i="4"/>
  <c r="Q16" i="4" s="1"/>
  <c r="K15" i="4"/>
  <c r="K16" i="4" s="1"/>
  <c r="E15" i="4"/>
  <c r="E16" i="4" s="1"/>
  <c r="N15" i="4"/>
  <c r="N16" i="4" s="1"/>
  <c r="J15" i="4"/>
  <c r="J16" i="4" s="1"/>
  <c r="M15" i="4"/>
  <c r="M16" i="4" s="1"/>
  <c r="C15" i="4"/>
  <c r="C16" i="4" s="1"/>
  <c r="K10" i="2"/>
  <c r="K12" i="2" s="1"/>
  <c r="F19" i="2"/>
  <c r="F21" i="2" s="1"/>
  <c r="P21" i="1"/>
  <c r="P22" i="1" s="1"/>
  <c r="F21" i="1"/>
  <c r="E12" i="1"/>
  <c r="M15" i="1" l="1"/>
  <c r="M16" i="1" s="1"/>
  <c r="H20" i="1"/>
  <c r="H21" i="1" s="1"/>
  <c r="H14" i="1"/>
  <c r="H15" i="1" s="1"/>
  <c r="M12" i="1"/>
  <c r="M13" i="1" s="1"/>
  <c r="H11" i="1"/>
  <c r="H12" i="1" s="1"/>
</calcChain>
</file>

<file path=xl/sharedStrings.xml><?xml version="1.0" encoding="utf-8"?>
<sst xmlns="http://schemas.openxmlformats.org/spreadsheetml/2006/main" count="556" uniqueCount="144">
  <si>
    <t>Variables</t>
  </si>
  <si>
    <t>Defaults</t>
  </si>
  <si>
    <t>TR</t>
  </si>
  <si>
    <t>t(rec)</t>
  </si>
  <si>
    <t>IFS(rec-adj)</t>
  </si>
  <si>
    <t>EF(recsc)</t>
  </si>
  <si>
    <t>ED(recsc)</t>
  </si>
  <si>
    <t>IRS(recsc)</t>
  </si>
  <si>
    <t>EF(recsa)</t>
  </si>
  <si>
    <t>ED(recsa)</t>
  </si>
  <si>
    <t>IRS(recsa)</t>
  </si>
  <si>
    <t>IFA(rec-adj)</t>
  </si>
  <si>
    <t>ET(recsc)</t>
  </si>
  <si>
    <t>IRA(recsc)</t>
  </si>
  <si>
    <t>ET(recsa)</t>
  </si>
  <si>
    <t>IRA(recsa)</t>
  </si>
  <si>
    <t>PEF</t>
  </si>
  <si>
    <t>Q/C(wind)</t>
  </si>
  <si>
    <t>V</t>
  </si>
  <si>
    <t>U(m)</t>
  </si>
  <si>
    <t>U(t)</t>
  </si>
  <si>
    <t>F(x)</t>
  </si>
  <si>
    <t>A</t>
  </si>
  <si>
    <t>A(s)</t>
  </si>
  <si>
    <t>B</t>
  </si>
  <si>
    <t>C</t>
  </si>
  <si>
    <t>Halflife (y)</t>
  </si>
  <si>
    <t>λ</t>
  </si>
  <si>
    <t>1-exp(-λt(cw))</t>
  </si>
  <si>
    <t>SF(s)</t>
  </si>
  <si>
    <t>SF(i)</t>
  </si>
  <si>
    <t>SF(ext-sv)</t>
  </si>
  <si>
    <t>SF(sub)</t>
  </si>
  <si>
    <t>GSF(o)</t>
  </si>
  <si>
    <t>ACF(ext-sv)</t>
  </si>
  <si>
    <t>Am-241</t>
  </si>
  <si>
    <t>Co-60</t>
  </si>
  <si>
    <t>H-3</t>
  </si>
  <si>
    <t>Pu-238</t>
  </si>
  <si>
    <t>Composite Worker Soil</t>
  </si>
  <si>
    <t>Composite Worker Air</t>
  </si>
  <si>
    <t>Ingestion</t>
  </si>
  <si>
    <t>Inhalation</t>
  </si>
  <si>
    <t>External</t>
  </si>
  <si>
    <t>Total</t>
  </si>
  <si>
    <t>With Halflife Decay</t>
  </si>
  <si>
    <t>Without Halflife Decay</t>
  </si>
  <si>
    <t>Calculated</t>
  </si>
  <si>
    <t>PRG</t>
  </si>
  <si>
    <t>% Differ.</t>
  </si>
  <si>
    <t>EF(rec)</t>
  </si>
  <si>
    <t>ED(rec)</t>
  </si>
  <si>
    <t>ET(rec)</t>
  </si>
  <si>
    <t xml:space="preserve">Variables </t>
  </si>
  <si>
    <t>IRGF(rec)</t>
  </si>
  <si>
    <t>Q(p-fowl)</t>
  </si>
  <si>
    <t>f(p-fowl)</t>
  </si>
  <si>
    <t>f(s-fowl)</t>
  </si>
  <si>
    <t>R(upp)</t>
  </si>
  <si>
    <t>R(es)</t>
  </si>
  <si>
    <t>Q(s-fowl)</t>
  </si>
  <si>
    <t>MLF</t>
  </si>
  <si>
    <t>Q(w-fowl)</t>
  </si>
  <si>
    <t>IRGL(rec)</t>
  </si>
  <si>
    <t>Q(p-game)</t>
  </si>
  <si>
    <t>f(p-game)</t>
  </si>
  <si>
    <t>f(s-game)</t>
  </si>
  <si>
    <t>Q(s-game)</t>
  </si>
  <si>
    <t>Q(w-game)</t>
  </si>
  <si>
    <t>Bv(dry)</t>
  </si>
  <si>
    <t>SF(f)</t>
  </si>
  <si>
    <t>TF(fowl)</t>
  </si>
  <si>
    <t>TF(game)</t>
  </si>
  <si>
    <t>-</t>
  </si>
  <si>
    <t>Direct</t>
  </si>
  <si>
    <t>BC to Soil</t>
  </si>
  <si>
    <t>BC to Water</t>
  </si>
  <si>
    <t>BC = Back-Calculated</t>
  </si>
  <si>
    <t>Consumption of Fowl</t>
  </si>
  <si>
    <t>Consumption of Land Game</t>
  </si>
  <si>
    <t>IFW(rec-adj)</t>
  </si>
  <si>
    <t>EF(recw-c)</t>
  </si>
  <si>
    <t>ED(recw-c)</t>
  </si>
  <si>
    <t>EV(recw-c)</t>
  </si>
  <si>
    <t>IRW(recw-c)</t>
  </si>
  <si>
    <t>EF(recw-a)</t>
  </si>
  <si>
    <t>ED(recw-a)</t>
  </si>
  <si>
    <t>ET(recw-a)</t>
  </si>
  <si>
    <t>EV(recw-a)</t>
  </si>
  <si>
    <t>IRW(recw-a)</t>
  </si>
  <si>
    <t>DFA(rec-adj)</t>
  </si>
  <si>
    <t>SF(imm)</t>
  </si>
  <si>
    <t>ET(recw-c)</t>
  </si>
  <si>
    <t>Immersion</t>
  </si>
  <si>
    <t>SF(w)</t>
  </si>
  <si>
    <t>SF(ext-1cm)</t>
  </si>
  <si>
    <t>SF(ext-5cm)</t>
  </si>
  <si>
    <t>SF(ext-15cm)</t>
  </si>
  <si>
    <t>SF(ext-gp)</t>
  </si>
  <si>
    <t>GSF(o)@0cm</t>
  </si>
  <si>
    <t>ACF(ext-1cm)</t>
  </si>
  <si>
    <t>ACF(ext-5cm)</t>
  </si>
  <si>
    <t>ACF(ext-15cm)</t>
  </si>
  <si>
    <t>ACF(ext-gp)</t>
  </si>
  <si>
    <r>
      <t>Cover Layer Thickness = 0cm ; Area = 1m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</si>
  <si>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2m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</si>
  <si>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Cover Layer Thickness = 0cm ; Area = 5m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</si>
  <si>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Infinite Depth</t>
  </si>
  <si>
    <t>1 cm</t>
  </si>
  <si>
    <t>5 cm</t>
  </si>
  <si>
    <t>15 cm</t>
  </si>
  <si>
    <t>Dust</t>
  </si>
  <si>
    <t>External Exposure</t>
  </si>
  <si>
    <t>Type</t>
  </si>
  <si>
    <t>Ground Plane</t>
  </si>
  <si>
    <t>Soil Volume</t>
  </si>
  <si>
    <t>1cm</t>
  </si>
  <si>
    <t>5cm</t>
  </si>
  <si>
    <t>15cm</t>
  </si>
  <si>
    <t>M</t>
  </si>
  <si>
    <t>Ground Plane, Area Correction Factor</t>
  </si>
  <si>
    <t>1m^2</t>
  </si>
  <si>
    <t>2m^2</t>
  </si>
  <si>
    <t>5m^2</t>
  </si>
  <si>
    <t>10m^2</t>
  </si>
  <si>
    <t>20m^2</t>
  </si>
  <si>
    <t>50m^2</t>
  </si>
  <si>
    <t>100m^2</t>
  </si>
  <si>
    <t>200m^2</t>
  </si>
  <si>
    <t>500m^2</t>
  </si>
  <si>
    <t>1000m^2</t>
  </si>
  <si>
    <t>2000m^2</t>
  </si>
  <si>
    <t>5000m^2</t>
  </si>
  <si>
    <t>10000m^2</t>
  </si>
  <si>
    <t>20000m^2</t>
  </si>
  <si>
    <t>50000m^2</t>
  </si>
  <si>
    <t>100000m^2</t>
  </si>
  <si>
    <t>Infinite</t>
  </si>
  <si>
    <t>Soil Worker</t>
  </si>
  <si>
    <t>Form</t>
  </si>
  <si>
    <t>F</t>
  </si>
  <si>
    <t>S</t>
  </si>
  <si>
    <t>G(elemental)</t>
  </si>
  <si>
    <t>G(organic)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</si>
</sst>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1" fontId="3" fillId="0" borderId="8" xfId="0" applyNumberFormat="1" applyFont="1" applyBorder="1"/>
    <xf numFmtId="11" fontId="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11" fontId="3" fillId="0" borderId="9" xfId="0" applyNumberFormat="1" applyFont="1" applyBorder="1"/>
    <xf numFmtId="11" fontId="3" fillId="0" borderId="4" xfId="0" applyNumberFormat="1" applyFont="1" applyBorder="1"/>
    <xf numFmtId="0" fontId="3" fillId="0" borderId="16" xfId="0" applyFont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0" fillId="0" borderId="19" xfId="0" applyBorder="1"/>
    <xf numFmtId="11" fontId="3" fillId="0" borderId="6" xfId="0" applyNumberFormat="1" applyFont="1" applyBorder="1" applyAlignment="1">
      <alignment horizontal="center" vertical="center"/>
    </xf>
    <xf numFmtId="11" fontId="3" fillId="0" borderId="7" xfId="0" applyNumberFormat="1" applyFont="1" applyBorder="1" applyAlignment="1">
      <alignment horizontal="center" vertical="center"/>
    </xf>
    <xf numFmtId="0" fontId="0" fillId="0" borderId="22" xfId="0" applyBorder="1"/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11" fontId="3" fillId="0" borderId="8" xfId="0" applyNumberFormat="1" applyFont="1" applyBorder="1" applyAlignment="1">
      <alignment horizontal="center" vertical="center"/>
    </xf>
    <xf numFmtId="11" fontId="3" fillId="0" borderId="2" xfId="0" applyNumberFormat="1" applyFont="1" applyBorder="1" applyAlignment="1">
      <alignment horizontal="center" vertical="center"/>
    </xf>
    <xf numFmtId="11" fontId="3" fillId="0" borderId="27" xfId="0" applyNumberFormat="1" applyFont="1" applyBorder="1" applyAlignment="1">
      <alignment horizontal="center" vertical="center"/>
    </xf>
    <xf numFmtId="11" fontId="3" fillId="0" borderId="20" xfId="0" applyNumberFormat="1" applyFont="1" applyBorder="1" applyAlignment="1">
      <alignment horizontal="center" vertical="center"/>
    </xf>
    <xf numFmtId="11" fontId="5" fillId="7" borderId="9" xfId="0" applyNumberFormat="1" applyFont="1" applyFill="1" applyBorder="1" applyAlignment="1">
      <alignment horizontal="center" vertical="center"/>
    </xf>
    <xf numFmtId="11" fontId="6" fillId="8" borderId="4" xfId="0" applyNumberFormat="1" applyFont="1" applyFill="1" applyBorder="1" applyAlignment="1">
      <alignment horizontal="center" vertical="center"/>
    </xf>
    <xf numFmtId="11" fontId="3" fillId="0" borderId="30" xfId="0" applyNumberFormat="1" applyFont="1" applyBorder="1" applyAlignment="1">
      <alignment horizontal="center" vertical="center"/>
    </xf>
    <xf numFmtId="11" fontId="3" fillId="0" borderId="31" xfId="0" applyNumberFormat="1" applyFont="1" applyBorder="1" applyAlignment="1">
      <alignment horizontal="center" vertical="center"/>
    </xf>
    <xf numFmtId="11" fontId="6" fillId="7" borderId="33" xfId="0" applyNumberFormat="1" applyFont="1" applyFill="1" applyBorder="1" applyAlignment="1">
      <alignment horizontal="center" vertical="center"/>
    </xf>
    <xf numFmtId="11" fontId="6" fillId="7" borderId="9" xfId="0" applyNumberFormat="1" applyFont="1" applyFill="1" applyBorder="1" applyAlignment="1">
      <alignment horizontal="center" vertical="center"/>
    </xf>
    <xf numFmtId="11" fontId="6" fillId="8" borderId="34" xfId="0" applyNumberFormat="1" applyFont="1" applyFill="1" applyBorder="1" applyAlignment="1">
      <alignment horizontal="center" vertical="center"/>
    </xf>
    <xf numFmtId="11" fontId="7" fillId="9" borderId="6" xfId="0" applyNumberFormat="1" applyFont="1" applyFill="1" applyBorder="1" applyAlignment="1">
      <alignment horizontal="center" vertical="center"/>
    </xf>
    <xf numFmtId="11" fontId="7" fillId="9" borderId="8" xfId="0" applyNumberFormat="1" applyFont="1" applyFill="1" applyBorder="1" applyAlignment="1">
      <alignment horizontal="center" vertical="center"/>
    </xf>
    <xf numFmtId="11" fontId="3" fillId="9" borderId="6" xfId="0" applyNumberFormat="1" applyFont="1" applyFill="1" applyBorder="1" applyAlignment="1">
      <alignment horizontal="center" vertical="center"/>
    </xf>
    <xf numFmtId="11" fontId="7" fillId="9" borderId="9" xfId="0" applyNumberFormat="1" applyFont="1" applyFill="1" applyBorder="1" applyAlignment="1">
      <alignment horizontal="center" vertical="center"/>
    </xf>
    <xf numFmtId="11" fontId="3" fillId="9" borderId="8" xfId="0" applyNumberFormat="1" applyFont="1" applyFill="1" applyBorder="1" applyAlignment="1">
      <alignment horizontal="center" vertical="center"/>
    </xf>
    <xf numFmtId="11" fontId="6" fillId="9" borderId="9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9" fontId="3" fillId="4" borderId="18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1" fontId="3" fillId="0" borderId="6" xfId="0" applyNumberFormat="1" applyFont="1" applyBorder="1"/>
    <xf numFmtId="165" fontId="3" fillId="0" borderId="7" xfId="0" applyNumberFormat="1" applyFont="1" applyBorder="1"/>
    <xf numFmtId="0" fontId="0" fillId="0" borderId="35" xfId="0" applyBorder="1"/>
    <xf numFmtId="0" fontId="0" fillId="0" borderId="23" xfId="0" applyBorder="1"/>
    <xf numFmtId="0" fontId="3" fillId="5" borderId="17" xfId="0" applyFont="1" applyFill="1" applyBorder="1" applyAlignment="1">
      <alignment horizontal="center" vertical="center"/>
    </xf>
    <xf numFmtId="9" fontId="3" fillId="5" borderId="36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2" xfId="0" applyNumberFormat="1" applyFont="1" applyBorder="1"/>
    <xf numFmtId="0" fontId="0" fillId="0" borderId="37" xfId="0" applyBorder="1"/>
    <xf numFmtId="0" fontId="3" fillId="4" borderId="6" xfId="0" applyFont="1" applyFill="1" applyBorder="1" applyAlignment="1">
      <alignment horizontal="center" vertical="center"/>
    </xf>
    <xf numFmtId="165" fontId="3" fillId="0" borderId="7" xfId="1" applyNumberFormat="1" applyFont="1" applyBorder="1"/>
    <xf numFmtId="0" fontId="3" fillId="4" borderId="8" xfId="0" applyFont="1" applyFill="1" applyBorder="1" applyAlignment="1">
      <alignment horizontal="center" vertical="center"/>
    </xf>
    <xf numFmtId="165" fontId="3" fillId="0" borderId="2" xfId="1" applyNumberFormat="1" applyFont="1" applyBorder="1"/>
    <xf numFmtId="0" fontId="3" fillId="0" borderId="9" xfId="0" applyFont="1" applyBorder="1" applyAlignment="1">
      <alignment horizontal="center" vertical="center"/>
    </xf>
    <xf numFmtId="165" fontId="3" fillId="0" borderId="4" xfId="0" applyNumberFormat="1" applyFont="1" applyBorder="1"/>
    <xf numFmtId="0" fontId="3" fillId="4" borderId="38" xfId="0" applyFont="1" applyFill="1" applyBorder="1" applyAlignment="1">
      <alignment horizontal="center" vertical="center"/>
    </xf>
    <xf numFmtId="11" fontId="3" fillId="0" borderId="38" xfId="0" applyNumberFormat="1" applyFont="1" applyBorder="1"/>
    <xf numFmtId="165" fontId="3" fillId="0" borderId="39" xfId="1" applyNumberFormat="1" applyFont="1" applyBorder="1"/>
    <xf numFmtId="0" fontId="3" fillId="6" borderId="40" xfId="0" applyFont="1" applyFill="1" applyBorder="1" applyAlignment="1">
      <alignment horizontal="center" vertical="center"/>
    </xf>
    <xf numFmtId="11" fontId="3" fillId="0" borderId="40" xfId="0" applyNumberFormat="1" applyFont="1" applyBorder="1"/>
    <xf numFmtId="165" fontId="3" fillId="0" borderId="41" xfId="1" applyNumberFormat="1" applyFont="1" applyBorder="1"/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165" fontId="3" fillId="0" borderId="4" xfId="1" applyNumberFormat="1" applyFont="1" applyBorder="1"/>
    <xf numFmtId="11" fontId="3" fillId="10" borderId="6" xfId="0" applyNumberFormat="1" applyFont="1" applyFill="1" applyBorder="1"/>
    <xf numFmtId="165" fontId="3" fillId="10" borderId="7" xfId="0" applyNumberFormat="1" applyFont="1" applyFill="1" applyBorder="1"/>
    <xf numFmtId="11" fontId="3" fillId="10" borderId="8" xfId="0" applyNumberFormat="1" applyFont="1" applyFill="1" applyBorder="1"/>
    <xf numFmtId="165" fontId="3" fillId="10" borderId="2" xfId="0" applyNumberFormat="1" applyFont="1" applyFill="1" applyBorder="1"/>
    <xf numFmtId="11" fontId="3" fillId="9" borderId="8" xfId="0" applyNumberFormat="1" applyFont="1" applyFill="1" applyBorder="1"/>
    <xf numFmtId="165" fontId="3" fillId="9" borderId="2" xfId="1" applyNumberFormat="1" applyFont="1" applyFill="1" applyBorder="1"/>
    <xf numFmtId="0" fontId="0" fillId="0" borderId="20" xfId="0" applyFont="1" applyBorder="1"/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1" fontId="3" fillId="0" borderId="8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Border="1"/>
    <xf numFmtId="0" fontId="3" fillId="0" borderId="17" xfId="0" applyFont="1" applyBorder="1" applyAlignment="1">
      <alignment horizontal="center" vertical="center"/>
    </xf>
    <xf numFmtId="0" fontId="0" fillId="0" borderId="21" xfId="0" applyBorder="1"/>
    <xf numFmtId="0" fontId="0" fillId="0" borderId="45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45" xfId="0" applyFont="1" applyFill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165" fontId="3" fillId="0" borderId="36" xfId="0" applyNumberFormat="1" applyFont="1" applyBorder="1"/>
    <xf numFmtId="165" fontId="3" fillId="0" borderId="46" xfId="0" applyNumberFormat="1" applyFont="1" applyBorder="1"/>
    <xf numFmtId="165" fontId="3" fillId="0" borderId="41" xfId="0" applyNumberFormat="1" applyFont="1" applyBorder="1"/>
    <xf numFmtId="165" fontId="3" fillId="9" borderId="2" xfId="0" applyNumberFormat="1" applyFont="1" applyFill="1" applyBorder="1"/>
    <xf numFmtId="165" fontId="3" fillId="9" borderId="41" xfId="0" applyNumberFormat="1" applyFont="1" applyFill="1" applyBorder="1"/>
    <xf numFmtId="11" fontId="3" fillId="0" borderId="7" xfId="0" applyNumberFormat="1" applyFont="1" applyBorder="1"/>
    <xf numFmtId="11" fontId="5" fillId="7" borderId="9" xfId="0" applyNumberFormat="1" applyFont="1" applyFill="1" applyBorder="1"/>
    <xf numFmtId="11" fontId="5" fillId="7" borderId="4" xfId="0" applyNumberFormat="1" applyFont="1" applyFill="1" applyBorder="1"/>
    <xf numFmtId="11" fontId="3" fillId="9" borderId="6" xfId="0" applyNumberFormat="1" applyFont="1" applyFill="1" applyBorder="1"/>
    <xf numFmtId="11" fontId="3" fillId="9" borderId="7" xfId="0" applyNumberFormat="1" applyFont="1" applyFill="1" applyBorder="1"/>
    <xf numFmtId="11" fontId="3" fillId="9" borderId="2" xfId="0" applyNumberFormat="1" applyFont="1" applyFill="1" applyBorder="1"/>
    <xf numFmtId="11" fontId="5" fillId="9" borderId="9" xfId="0" applyNumberFormat="1" applyFont="1" applyFill="1" applyBorder="1"/>
    <xf numFmtId="11" fontId="5" fillId="9" borderId="4" xfId="0" applyNumberFormat="1" applyFont="1" applyFill="1" applyBorder="1"/>
    <xf numFmtId="11" fontId="3" fillId="0" borderId="17" xfId="0" applyNumberFormat="1" applyFont="1" applyBorder="1"/>
    <xf numFmtId="11" fontId="3" fillId="9" borderId="9" xfId="0" applyNumberFormat="1" applyFont="1" applyFill="1" applyBorder="1"/>
    <xf numFmtId="0" fontId="3" fillId="0" borderId="40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11" fontId="5" fillId="8" borderId="4" xfId="0" applyNumberFormat="1" applyFont="1" applyFill="1" applyBorder="1"/>
    <xf numFmtId="11" fontId="3" fillId="0" borderId="9" xfId="0" applyNumberFormat="1" applyFont="1" applyFill="1" applyBorder="1"/>
    <xf numFmtId="0" fontId="3" fillId="0" borderId="0" xfId="0" applyFont="1" applyBorder="1" applyAlignment="1">
      <alignment horizontal="center" vertical="center"/>
    </xf>
    <xf numFmtId="11" fontId="3" fillId="0" borderId="47" xfId="0" applyNumberFormat="1" applyFont="1" applyBorder="1"/>
    <xf numFmtId="11" fontId="3" fillId="0" borderId="48" xfId="0" applyNumberFormat="1" applyFont="1" applyBorder="1"/>
    <xf numFmtId="11" fontId="3" fillId="0" borderId="0" xfId="0" applyNumberFormat="1" applyFont="1" applyBorder="1"/>
    <xf numFmtId="0" fontId="3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1" fontId="3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6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11" fontId="0" fillId="0" borderId="0" xfId="0" applyNumberFormat="1" applyFill="1" applyBorder="1"/>
    <xf numFmtId="11" fontId="7" fillId="0" borderId="7" xfId="0" applyNumberFormat="1" applyFont="1" applyBorder="1"/>
    <xf numFmtId="11" fontId="7" fillId="0" borderId="2" xfId="0" applyNumberFormat="1" applyFont="1" applyBorder="1"/>
    <xf numFmtId="11" fontId="2" fillId="0" borderId="0" xfId="0" applyNumberFormat="1" applyFont="1" applyFill="1" applyBorder="1"/>
    <xf numFmtId="11" fontId="6" fillId="7" borderId="4" xfId="0" applyNumberFormat="1" applyFont="1" applyFill="1" applyBorder="1"/>
    <xf numFmtId="11" fontId="7" fillId="0" borderId="6" xfId="0" applyNumberFormat="1" applyFont="1" applyBorder="1"/>
    <xf numFmtId="11" fontId="7" fillId="0" borderId="8" xfId="0" applyNumberFormat="1" applyFont="1" applyBorder="1"/>
    <xf numFmtId="11" fontId="6" fillId="7" borderId="9" xfId="0" applyNumberFormat="1" applyFont="1" applyFill="1" applyBorder="1"/>
    <xf numFmtId="0" fontId="3" fillId="0" borderId="21" xfId="0" applyFont="1" applyBorder="1"/>
    <xf numFmtId="9" fontId="3" fillId="4" borderId="36" xfId="1" applyFont="1" applyFill="1" applyBorder="1" applyAlignment="1">
      <alignment horizontal="center" vertical="center"/>
    </xf>
    <xf numFmtId="0" fontId="0" fillId="0" borderId="0" xfId="0" applyBorder="1"/>
    <xf numFmtId="0" fontId="3" fillId="6" borderId="45" xfId="0" applyFont="1" applyFill="1" applyBorder="1" applyAlignment="1">
      <alignment horizontal="center" vertical="center"/>
    </xf>
    <xf numFmtId="9" fontId="3" fillId="6" borderId="36" xfId="1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1" fontId="7" fillId="0" borderId="9" xfId="0" applyNumberFormat="1" applyFont="1" applyBorder="1"/>
    <xf numFmtId="165" fontId="7" fillId="0" borderId="4" xfId="1" applyNumberFormat="1" applyFont="1" applyBorder="1"/>
    <xf numFmtId="0" fontId="7" fillId="0" borderId="6" xfId="0" applyFont="1" applyFill="1" applyBorder="1" applyAlignment="1">
      <alignment horizontal="center" vertical="center"/>
    </xf>
    <xf numFmtId="165" fontId="7" fillId="0" borderId="7" xfId="1" applyNumberFormat="1" applyFont="1" applyBorder="1"/>
    <xf numFmtId="11" fontId="7" fillId="9" borderId="6" xfId="0" applyNumberFormat="1" applyFont="1" applyFill="1" applyBorder="1"/>
    <xf numFmtId="165" fontId="7" fillId="9" borderId="7" xfId="1" applyNumberFormat="1" applyFont="1" applyFill="1" applyBorder="1"/>
    <xf numFmtId="11" fontId="7" fillId="9" borderId="8" xfId="0" applyNumberFormat="1" applyFont="1" applyFill="1" applyBorder="1"/>
    <xf numFmtId="165" fontId="7" fillId="9" borderId="2" xfId="1" applyNumberFormat="1" applyFont="1" applyFill="1" applyBorder="1"/>
    <xf numFmtId="11" fontId="7" fillId="9" borderId="9" xfId="0" applyNumberFormat="1" applyFont="1" applyFill="1" applyBorder="1"/>
    <xf numFmtId="165" fontId="7" fillId="9" borderId="4" xfId="1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0" fillId="3" borderId="42" xfId="0" applyFill="1" applyBorder="1"/>
    <xf numFmtId="0" fontId="3" fillId="3" borderId="0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0" fillId="0" borderId="42" xfId="0" applyBorder="1"/>
    <xf numFmtId="0" fontId="0" fillId="0" borderId="0" xfId="0" applyBorder="1" applyAlignment="1">
      <alignment horizontal="center" vertical="center"/>
    </xf>
    <xf numFmtId="11" fontId="0" fillId="0" borderId="0" xfId="0" applyNumberFormat="1" applyBorder="1"/>
    <xf numFmtId="11" fontId="0" fillId="0" borderId="37" xfId="0" applyNumberFormat="1" applyBorder="1"/>
    <xf numFmtId="0" fontId="0" fillId="12" borderId="42" xfId="0" applyFill="1" applyBorder="1"/>
    <xf numFmtId="0" fontId="3" fillId="12" borderId="0" xfId="0" applyFont="1" applyFill="1" applyBorder="1" applyAlignment="1">
      <alignment horizontal="center" vertical="center"/>
    </xf>
    <xf numFmtId="0" fontId="3" fillId="12" borderId="37" xfId="0" applyFont="1" applyFill="1" applyBorder="1" applyAlignment="1">
      <alignment horizontal="center" vertical="center"/>
    </xf>
    <xf numFmtId="0" fontId="0" fillId="0" borderId="51" xfId="0" applyBorder="1"/>
    <xf numFmtId="0" fontId="0" fillId="0" borderId="52" xfId="0" applyBorder="1" applyAlignment="1">
      <alignment horizontal="center" vertical="center"/>
    </xf>
    <xf numFmtId="11" fontId="0" fillId="0" borderId="52" xfId="0" applyNumberFormat="1" applyBorder="1"/>
    <xf numFmtId="11" fontId="0" fillId="0" borderId="53" xfId="0" applyNumberFormat="1" applyBorder="1"/>
    <xf numFmtId="0" fontId="0" fillId="6" borderId="42" xfId="0" applyFill="1" applyBorder="1"/>
    <xf numFmtId="0" fontId="3" fillId="6" borderId="0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0" fillId="13" borderId="42" xfId="0" applyFill="1" applyBorder="1"/>
    <xf numFmtId="0" fontId="3" fillId="13" borderId="0" xfId="0" applyFont="1" applyFill="1" applyBorder="1" applyAlignment="1">
      <alignment horizontal="center" vertical="center"/>
    </xf>
    <xf numFmtId="0" fontId="3" fillId="13" borderId="37" xfId="0" applyFont="1" applyFill="1" applyBorder="1" applyAlignment="1">
      <alignment horizontal="center" vertical="center"/>
    </xf>
    <xf numFmtId="0" fontId="0" fillId="7" borderId="42" xfId="0" applyFill="1" applyBorder="1"/>
    <xf numFmtId="0" fontId="3" fillId="7" borderId="0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11" fontId="0" fillId="0" borderId="37" xfId="0" applyNumberFormat="1" applyFont="1" applyFill="1" applyBorder="1" applyAlignment="1">
      <alignment horizontal="right" vertical="center"/>
    </xf>
    <xf numFmtId="11" fontId="0" fillId="0" borderId="37" xfId="0" applyNumberFormat="1" applyBorder="1" applyAlignment="1">
      <alignment horizontal="right" vertical="center"/>
    </xf>
    <xf numFmtId="0" fontId="0" fillId="0" borderId="4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0" fontId="3" fillId="0" borderId="21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90"/>
    </xf>
    <xf numFmtId="0" fontId="3" fillId="0" borderId="30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11" borderId="43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5" fillId="4" borderId="43" xfId="0" applyNumberFormat="1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/>
    </xf>
    <xf numFmtId="49" fontId="5" fillId="4" borderId="12" xfId="0" applyNumberFormat="1" applyFont="1" applyFill="1" applyBorder="1" applyAlignment="1">
      <alignment horizontal="center"/>
    </xf>
    <xf numFmtId="49" fontId="5" fillId="6" borderId="43" xfId="0" applyNumberFormat="1" applyFont="1" applyFill="1" applyBorder="1" applyAlignment="1">
      <alignment horizontal="center"/>
    </xf>
    <xf numFmtId="49" fontId="5" fillId="6" borderId="11" xfId="0" applyNumberFormat="1" applyFont="1" applyFill="1" applyBorder="1" applyAlignment="1">
      <alignment horizontal="center"/>
    </xf>
    <xf numFmtId="49" fontId="5" fillId="6" borderId="12" xfId="0" applyNumberFormat="1" applyFont="1" applyFill="1" applyBorder="1" applyAlignment="1">
      <alignment horizontal="center"/>
    </xf>
    <xf numFmtId="49" fontId="5" fillId="5" borderId="43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horizontal="center"/>
    </xf>
    <xf numFmtId="49" fontId="5" fillId="5" borderId="12" xfId="0" applyNumberFormat="1" applyFont="1" applyFill="1" applyBorder="1" applyAlignment="1">
      <alignment horizontal="center"/>
    </xf>
    <xf numFmtId="0" fontId="0" fillId="12" borderId="49" xfId="0" applyFill="1" applyBorder="1" applyAlignment="1">
      <alignment horizontal="center"/>
    </xf>
    <xf numFmtId="0" fontId="0" fillId="12" borderId="50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3" borderId="49" xfId="0" applyFill="1" applyBorder="1" applyAlignment="1">
      <alignment horizontal="center"/>
    </xf>
    <xf numFmtId="0" fontId="0" fillId="13" borderId="50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3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6"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449405</xdr:colOff>
      <xdr:row>48</xdr:row>
      <xdr:rowOff>58449</xdr:rowOff>
    </xdr:from>
    <xdr:ext cx="11572876" cy="2690812"/>
    <xdr:sp macro="" textlink="">
      <xdr:nvSpPr>
        <xdr:cNvPr id="2" name="TextBox 1"/>
        <xdr:cNvSpPr txBox="1"/>
      </xdr:nvSpPr>
      <xdr:spPr>
        <a:xfrm>
          <a:off x="449405" y="9635404"/>
          <a:ext cx="11572876" cy="269081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Incidental ingestion</a:t>
          </a:r>
          <a:r>
            <a:rPr lang="en-US" sz="1100" b="1" u="sng" baseline="0"/>
            <a:t> of soil</a:t>
          </a:r>
          <a:endParaRPr lang="en-US" sz="1100" b="1" u="sng"/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_"rec-sol-ing"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  <a:ea typeface="Cambria Math"/>
            </a:rPr>
            <a:t>" </a:t>
          </a:r>
          <a:r>
            <a:rPr lang="en-US" sz="1100" b="0" i="0">
              <a:latin typeface="+mn-lt"/>
            </a:rPr>
            <a:t> </a:t>
          </a:r>
          <a:r>
            <a:rPr lang="en-US" sz="1100" b="0" i="0">
              <a:latin typeface="+mn-lt"/>
              <a:ea typeface="Cambria Math"/>
            </a:rPr>
            <a:t>("</a:t>
          </a:r>
          <a:r>
            <a:rPr lang="en-US" sz="1100" b="0" i="0">
              <a:latin typeface="+mn-lt"/>
            </a:rPr>
            <a:t>TR x " "t" _"rec"  " " ("years" )" x </a:t>
          </a:r>
          <a:r>
            <a:rPr lang="en-US" sz="1100" b="0" i="0">
              <a:latin typeface="+mn-lt"/>
              <a:ea typeface="Cambria Math"/>
            </a:rPr>
            <a:t>λ " ("1" /"years" ))/(("1-" "e" ^("-λ" "t" _"rec"  ) )" x S" "F" _"s"  " " ("risk" /"pCi" )"x IF" "S" _"rec-adj"  " " ("mg" )" x " ("g" /"1000 mg" ) )</a:t>
          </a:r>
          <a:endParaRPr lang="en-US" sz="1100" b="0">
            <a:latin typeface="+mn-lt"/>
            <a:ea typeface="Cambria Math"/>
          </a:endParaRPr>
        </a:p>
        <a:p>
          <a:r>
            <a:rPr lang="en-US" sz="1100" b="0" i="0">
              <a:latin typeface="Cambria Math"/>
            </a:rPr>
            <a:t>"IF</a:t>
          </a:r>
          <a:r>
            <a:rPr lang="en-US" sz="1100" b="0" i="0">
              <a:latin typeface="+mn-lt"/>
            </a:rPr>
            <a:t>" "S" _"rec-adj"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("mg" 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(("E" "F" _"recsc"  " " ("days" /"yr" )" x E" "D" _"recsc"  " " ("yr" )" x IR" "S" _"recsc"  " " ("200 mg" /"day" ))"+" ("E" "F" _"recsa"  " " ("days" /"yr" )" x E" "D" _"recsa"  " " ("yr" )" x IR" "S" _"recsa"  " " ("100 mg" /"day" )))</a:t>
          </a:r>
          <a:endParaRPr lang="en-US" sz="1100" b="0">
            <a:latin typeface="+mn-lt"/>
          </a:endParaRPr>
        </a:p>
        <a:p>
          <a:r>
            <a:rPr lang="en-US" sz="1100" b="1" u="sng"/>
            <a:t>Inhalation</a:t>
          </a:r>
          <a:r>
            <a:rPr lang="en-US" sz="1100" b="1" u="sng" baseline="0"/>
            <a:t> of particulates emitted from soil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_"rec-sol-inh"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("TR x " "t" _"rec"  " " ("years" )" x λ " ("1" /"years" ))/(("1-" "e" ^("-λ" "t" _"rec"  ) )" x S" "F" _"i"  " " ("risk" /"pCi" )"x IF" "A" _"rec-adj"  " " ("m" ^"3"  )" x " ("1" /"PEF " ("m" ^"3" /"kg" ) )" x " ("1000 g" /"kg" ) )</a:t>
          </a:r>
          <a:endParaRPr lang="en-US">
            <a:effectLst/>
            <a:latin typeface="+mn-lt"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"A" _"rec-adj"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(("E" "F" _"recsc"  " " ("days" /"yr" )" x E" "D" _"recsc"  " " ("yr" )" x E" "T" _"recsc"  " " ("hr" /"day" )" x " ("1 day" /"24 hrs" )"x IR" "A" _"recsc"  " " (("10 " "m" ^"3" )/"day" ))"+" ("E" "F" _"recsa"  " " ("days" /"yr" )" x E" "D" _"recsa"  " " ("yr" )" x E" "T" _"recsa"  " " ("hr" /"day" )" x " ("1 day" /"24 hrs" )"x IR" "A" _"recsa"  " " (("20 " "m" ^"3" )/"day" )))</a:t>
          </a:r>
          <a:endParaRPr lang="en-US" sz="1100">
            <a:latin typeface="+mn-lt"/>
          </a:endParaRPr>
        </a:p>
        <a:p>
          <a:r>
            <a:rPr lang="en-US" sz="1100" b="1" u="sng"/>
            <a:t>External exposure</a:t>
          </a:r>
          <a:r>
            <a:rPr lang="en-US" sz="1100" b="1" u="sng" baseline="0"/>
            <a:t> to ionizing radiation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_"rec-sol-ext"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∕"g"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("TR x " "t" _"rec"  " " ("years" )" x λ " ("1" /"years" ))/(("1-" "e" ^("-λ" "t" _"rec"  ) )" x S" "F" _"ext-sv"  " " ("risk/yr" /"pCi/g" )"x E" "F" _"rec"  " " ("days" /"year" )" x " ("1 yr" /"365 days" )" x E" "D" _"rec"  " " ("yrs" )" x E" "T" _"rec"  " " ("hr" /"day" )" x " ("1 day" /"24 hrs" )" x GS" "F" _"o"  " " ("1.0" )" x AC" "F" _"ext-sv"  )</a:t>
          </a:r>
          <a:endParaRPr lang="en-US">
            <a:effectLst/>
            <a:latin typeface="+mn-lt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effectLst/>
            </a:rPr>
            <a:t>Total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="0" i="0">
              <a:effectLst/>
              <a:latin typeface="Cambria Math"/>
            </a:rPr>
            <a:t>"PR" </a:t>
          </a:r>
          <a:r>
            <a:rPr lang="en-US" b="0" i="0">
              <a:effectLst/>
              <a:latin typeface="Calibri" panose="020F0502020204030204" pitchFamily="34" charset="0"/>
            </a:rPr>
            <a:t>"G</a:t>
          </a:r>
          <a:r>
            <a:rPr lang="en-US" b="0" i="0">
              <a:effectLst/>
              <a:latin typeface="Cambria Math"/>
            </a:rPr>
            <a:t>" _"</a:t>
          </a:r>
          <a:r>
            <a:rPr lang="en-US" b="0" i="0">
              <a:effectLst/>
              <a:latin typeface="Calibri" panose="020F0502020204030204" pitchFamily="34" charset="0"/>
            </a:rPr>
            <a:t>rec-sol-tot</a:t>
          </a:r>
          <a:r>
            <a:rPr lang="en-US" b="0" i="0">
              <a:effectLst/>
              <a:latin typeface="Cambria Math"/>
            </a:rPr>
            <a:t>"  " " ("</a:t>
          </a:r>
          <a:r>
            <a:rPr lang="en-US" b="0" i="0">
              <a:effectLst/>
              <a:latin typeface="Calibri" panose="020F0502020204030204" pitchFamily="34" charset="0"/>
            </a:rPr>
            <a:t>pCi</a:t>
          </a:r>
          <a:r>
            <a:rPr lang="en-US" b="0" i="0">
              <a:effectLst/>
              <a:latin typeface="Cambria Math"/>
            </a:rPr>
            <a:t>" ∕"</a:t>
          </a:r>
          <a:r>
            <a:rPr lang="en-US" b="0" i="0">
              <a:effectLst/>
              <a:latin typeface="Calibri" panose="020F0502020204030204" pitchFamily="34" charset="0"/>
            </a:rPr>
            <a:t>g</a:t>
          </a:r>
          <a:r>
            <a:rPr lang="en-US" b="0" i="0">
              <a:effectLst/>
              <a:latin typeface="Cambria Math"/>
            </a:rPr>
            <a:t>" )"=" </a:t>
          </a:r>
          <a:r>
            <a:rPr lang="en-US" b="0" i="0">
              <a:effectLst/>
              <a:latin typeface="Calibri" panose="020F0502020204030204" pitchFamily="34" charset="0"/>
            </a:rPr>
            <a:t> "1</a:t>
          </a:r>
          <a:r>
            <a:rPr lang="en-US" b="0" i="0">
              <a:effectLst/>
              <a:latin typeface="Cambria Math"/>
            </a:rPr>
            <a:t>" /("</a:t>
          </a:r>
          <a:r>
            <a:rPr lang="en-US" b="0" i="0">
              <a:effectLst/>
              <a:latin typeface="Calibri" panose="020F0502020204030204" pitchFamily="34" charset="0"/>
            </a:rPr>
            <a:t>1</a:t>
          </a:r>
          <a:r>
            <a:rPr lang="en-US" b="0" i="0">
              <a:effectLst/>
              <a:latin typeface="Cambria Math"/>
            </a:rPr>
            <a:t>" /("</a:t>
          </a:r>
          <a:r>
            <a:rPr lang="en-US" b="0" i="0">
              <a:effectLst/>
              <a:latin typeface="Calibri" panose="020F0502020204030204" pitchFamily="34" charset="0"/>
            </a:rPr>
            <a:t>PR</a:t>
          </a:r>
          <a:r>
            <a:rPr lang="en-US" b="0" i="0">
              <a:effectLst/>
              <a:latin typeface="Cambria Math"/>
            </a:rPr>
            <a:t>" "</a:t>
          </a:r>
          <a:r>
            <a:rPr lang="en-US" b="0" i="0">
              <a:effectLst/>
              <a:latin typeface="Calibri" panose="020F0502020204030204" pitchFamily="34" charset="0"/>
            </a:rPr>
            <a:t>G</a:t>
          </a:r>
          <a:r>
            <a:rPr lang="en-US" b="0" i="0">
              <a:effectLst/>
              <a:latin typeface="Cambria Math"/>
            </a:rPr>
            <a:t>" _"</a:t>
          </a:r>
          <a:r>
            <a:rPr lang="en-US" b="0" i="0">
              <a:effectLst/>
              <a:latin typeface="Calibri" panose="020F0502020204030204" pitchFamily="34" charset="0"/>
            </a:rPr>
            <a:t>rec-sol-ing</a:t>
          </a:r>
          <a:r>
            <a:rPr lang="en-US" b="0" i="0">
              <a:effectLst/>
              <a:latin typeface="Cambria Math"/>
            </a:rPr>
            <a:t>"  ) "</a:t>
          </a:r>
          <a:r>
            <a:rPr lang="en-US" b="0" i="0">
              <a:effectLst/>
              <a:latin typeface="Calibri" panose="020F0502020204030204" pitchFamily="34" charset="0"/>
            </a:rPr>
            <a:t>+</a:t>
          </a:r>
          <a:r>
            <a:rPr lang="en-US" b="0" i="0">
              <a:effectLst/>
              <a:latin typeface="Cambria Math"/>
            </a:rPr>
            <a:t>"  "</a:t>
          </a:r>
          <a:r>
            <a:rPr lang="en-US" b="0" i="0">
              <a:effectLst/>
              <a:latin typeface="Calibri" panose="020F0502020204030204" pitchFamily="34" charset="0"/>
            </a:rPr>
            <a:t>1</a:t>
          </a:r>
          <a:r>
            <a:rPr lang="en-US" b="0" i="0">
              <a:effectLst/>
              <a:latin typeface="Cambria Math"/>
            </a:rPr>
            <a:t>" /("</a:t>
          </a:r>
          <a:r>
            <a:rPr lang="en-US" b="0" i="0">
              <a:effectLst/>
              <a:latin typeface="Calibri" panose="020F0502020204030204" pitchFamily="34" charset="0"/>
            </a:rPr>
            <a:t>PR</a:t>
          </a:r>
          <a:r>
            <a:rPr lang="en-US" b="0" i="0">
              <a:effectLst/>
              <a:latin typeface="Cambria Math"/>
            </a:rPr>
            <a:t>" "</a:t>
          </a:r>
          <a:r>
            <a:rPr lang="en-US" b="0" i="0">
              <a:effectLst/>
              <a:latin typeface="Calibri" panose="020F0502020204030204" pitchFamily="34" charset="0"/>
            </a:rPr>
            <a:t>G</a:t>
          </a:r>
          <a:r>
            <a:rPr lang="en-US" b="0" i="0">
              <a:effectLst/>
              <a:latin typeface="Cambria Math"/>
            </a:rPr>
            <a:t>" _"</a:t>
          </a:r>
          <a:r>
            <a:rPr lang="en-US" b="0" i="0">
              <a:effectLst/>
              <a:latin typeface="Calibri" panose="020F0502020204030204" pitchFamily="34" charset="0"/>
            </a:rPr>
            <a:t>rec-sol-inh</a:t>
          </a:r>
          <a:r>
            <a:rPr lang="en-US" b="0" i="0">
              <a:effectLst/>
              <a:latin typeface="Cambria Math"/>
            </a:rPr>
            <a:t>"  ) "</a:t>
          </a:r>
          <a:r>
            <a:rPr lang="en-US" b="0" i="0">
              <a:effectLst/>
              <a:latin typeface="Calibri" panose="020F0502020204030204" pitchFamily="34" charset="0"/>
            </a:rPr>
            <a:t>+</a:t>
          </a:r>
          <a:r>
            <a:rPr lang="en-US" b="0" i="0">
              <a:effectLst/>
              <a:latin typeface="Cambria Math"/>
            </a:rPr>
            <a:t>"  "</a:t>
          </a:r>
          <a:r>
            <a:rPr lang="en-US" b="0" i="0">
              <a:effectLst/>
              <a:latin typeface="Calibri" panose="020F0502020204030204" pitchFamily="34" charset="0"/>
            </a:rPr>
            <a:t>1</a:t>
          </a:r>
          <a:r>
            <a:rPr lang="en-US" b="0" i="0">
              <a:effectLst/>
              <a:latin typeface="Cambria Math"/>
            </a:rPr>
            <a:t>" /("</a:t>
          </a:r>
          <a:r>
            <a:rPr lang="en-US" b="0" i="0">
              <a:effectLst/>
              <a:latin typeface="Calibri" panose="020F0502020204030204" pitchFamily="34" charset="0"/>
            </a:rPr>
            <a:t>PR</a:t>
          </a:r>
          <a:r>
            <a:rPr lang="en-US" b="0" i="0">
              <a:effectLst/>
              <a:latin typeface="Cambria Math"/>
            </a:rPr>
            <a:t>" "</a:t>
          </a:r>
          <a:r>
            <a:rPr lang="en-US" b="0" i="0">
              <a:effectLst/>
              <a:latin typeface="Calibri" panose="020F0502020204030204" pitchFamily="34" charset="0"/>
            </a:rPr>
            <a:t>G</a:t>
          </a:r>
          <a:r>
            <a:rPr lang="en-US" b="0" i="0">
              <a:effectLst/>
              <a:latin typeface="Cambria Math"/>
            </a:rPr>
            <a:t>" _"</a:t>
          </a:r>
          <a:r>
            <a:rPr lang="en-US" b="0" i="0">
              <a:effectLst/>
              <a:latin typeface="Calibri" panose="020F0502020204030204" pitchFamily="34" charset="0"/>
            </a:rPr>
            <a:t>rec-sol-ext</a:t>
          </a:r>
          <a:r>
            <a:rPr lang="en-US" b="0" i="0">
              <a:effectLst/>
              <a:latin typeface="Cambria Math"/>
            </a:rPr>
            <a:t>"  ))</a:t>
          </a:r>
          <a:endParaRPr lang="en-US">
            <a:effectLst/>
            <a:latin typeface="Calibri" panose="020F0502020204030204" pitchFamily="34" charset="0"/>
          </a:endParaRPr>
        </a:p>
      </xdr:txBody>
    </xdr:sp>
    <xdr:clientData/>
  </xdr:oneCellAnchor>
  <xdr:oneCellAnchor>
    <xdr:from>
      <xdr:col>15</xdr:col>
      <xdr:colOff>139163</xdr:colOff>
      <xdr:row>23</xdr:row>
      <xdr:rowOff>42058</xdr:rowOff>
    </xdr:from>
    <xdr:ext cx="6429375" cy="2707821"/>
    <xdr:sp macro="" textlink="">
      <xdr:nvSpPr>
        <xdr:cNvPr id="3" name="TextBox 2"/>
        <xdr:cNvSpPr txBox="1"/>
      </xdr:nvSpPr>
      <xdr:spPr>
        <a:xfrm>
          <a:off x="9040708" y="4666013"/>
          <a:ext cx="6429375" cy="270782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 (with half-life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_"rec−air−inh−decay"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_"rec"  " " ("yr" )" x λ " ("1" /"yr" )┤/(("1−" "e" ^("−λ" "t" _"r"  ) )" x S" "F" _"i"  " " ("risk" /"pCi" )" x IF" "A" _"rec−adj"  " " ("m" ^"3"  ) 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"A" _"rec−adj"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_"recsc"  " " ("day" /"yr" )" x E" "D" _"recsc"  " " ("yr" )" x E" "T" _"recsc"  " " ("hr" /"day" )" x " ("1 day" /"24 hrs" )" x IR" "A" _"recsc"  " " (("10 " "m" ^"3" )/"day"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_"recsa"  " " ("day" /"yr" )" x E" "D" _"recsa"  " " ("yr" )" x E" "T" _"recsa"  " " ("hr" /"day" )" x " ("1 day" /"24 hrs" )" x " 〖"IRA" 〗_"recsa"  " " (("20 " "m" ^"3" )/"day" ))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_"rec−air−sub−decay"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 x " "t" _"rec"  " " ("yr" )" x λ " ("1" /"yr" )┤/(("1−" "e" ^("−λ" "t" _"rec"  ) )" x S" "F" _"sub"  " " (("risk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)/("pCi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"m" ^"3"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))" x E" "F" _"rec"  " " ("day" /"yr" )" x " (├ "1 yr" ┤/"365 days" )" x E" "D" _"rec"  " " ("yr" )" x E" "T" _"rec"  " " ("hr" /"day" )" x " ("1 day" /"24 hrs" )" x GS" "F" _"a"  " " ("1.0" ) 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_"rec−air−tot−decay"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_"rec−air−inh−decay"  ) "+"  "1" /("PR" "G" _"rec−air−sub−decay"  ) " " )</a:t>
          </a:r>
          <a:endParaRPr lang="en-US" sz="1100"/>
        </a:p>
      </xdr:txBody>
    </xdr:sp>
    <xdr:clientData/>
  </xdr:oneCellAnchor>
  <xdr:oneCellAnchor>
    <xdr:from>
      <xdr:col>16</xdr:col>
      <xdr:colOff>108238</xdr:colOff>
      <xdr:row>0</xdr:row>
      <xdr:rowOff>90922</xdr:rowOff>
    </xdr:from>
    <xdr:ext cx="6409584" cy="2317542"/>
    <xdr:sp macro="" textlink="">
      <xdr:nvSpPr>
        <xdr:cNvPr id="4" name="TextBox 3"/>
        <xdr:cNvSpPr txBox="1"/>
      </xdr:nvSpPr>
      <xdr:spPr>
        <a:xfrm>
          <a:off x="9592417" y="90922"/>
          <a:ext cx="6409584" cy="2317542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Inhalation (without half-life</a:t>
          </a:r>
          <a:r>
            <a:rPr lang="en-US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_"rec−air−inh−nodecay"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"TR" ┤/("S" "F" _"i"  " " ("risk" /"pCi" )" x IF" 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 _"rec−adj"  " " ("m" ^"3"  )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"A" _"rec−adj"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_"recsc"  " " ("day" /"yr" )" x 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E" "D" _"recsc"  " " ("yr" )" x E" "T" _"recsc"  " " ("hr" /"day" )" x " ("1 day" /"24 hrs" )" x IR" "A" _"recsc"  " 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(("10 " "m" ^"3" )/"day"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_"recsa"  " " ("day" /"yr" )" x E" "D" _"recsa"  " " ("yr" )" x E" "T" _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"recsa"  " " ("hr" /"day" )" x " ("1 day" /"24 hrs" )" x " 〖"IRA" 〗_"recsa"  " " (("20 " "m" ^"3" )/"day" ))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External exposure to ionizing radiation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_"rec−air−sub−nodecay"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├ "TR" ┤/("S" "F" _"sub"  " " (("risk" ∕"yr" )/("pCi"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∕"m" ^"3"  ))" x E" "F" _"rec"  " " ("day" /"yr" )" x " (├ "1 yr" ┤/"365 days" )" x E" "D" _"rec"  " " ("yr" )" x E" "T"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_"rec"  " " ("hr" /"day" )" x " ("1 day" /"24 hrs" )" x GS" "F" _"a"  " " ("1.0" ) )</a:t>
          </a:r>
          <a:endParaRPr lang="en-US">
            <a:effectLst/>
          </a:endParaRPr>
        </a:p>
        <a:p>
          <a:pPr algn="l"/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(without half-life decay)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_"rec−air−tot−nodecay"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∕"m" ^"3" 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_"rec−air−inh−nodecay"  ) "+"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"1" /("PR" "G" _"rec−air−sub−nodecay"  ) " " )</a:t>
          </a:r>
          <a:endParaRPr lang="en-US" sz="1100"/>
        </a:p>
      </xdr:txBody>
    </xdr:sp>
    <xdr:clientData/>
  </xdr:oneCellAnchor>
  <xdr:oneCellAnchor>
    <xdr:from>
      <xdr:col>0</xdr:col>
      <xdr:colOff>299355</xdr:colOff>
      <xdr:row>39</xdr:row>
      <xdr:rowOff>116591</xdr:rowOff>
    </xdr:from>
    <xdr:ext cx="4876800" cy="1023938"/>
    <xdr:sp macro="" textlink="">
      <xdr:nvSpPr>
        <xdr:cNvPr id="5" name="TextBox 4"/>
        <xdr:cNvSpPr txBox="1"/>
      </xdr:nvSpPr>
      <xdr:spPr>
        <a:xfrm>
          <a:off x="299355" y="7927091"/>
          <a:ext cx="4876800" cy="102393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Particulate Emission Factor</a:t>
          </a:r>
          <a:r>
            <a:rPr lang="en-US" sz="1100" b="1" u="sng" baseline="0"/>
            <a:t> - Wind</a:t>
          </a:r>
        </a:p>
        <a:p>
          <a:r>
            <a:rPr lang="en-US" sz="1100" b="0" i="0">
              <a:latin typeface="Cambria Math"/>
            </a:rPr>
            <a:t>"PE</a:t>
          </a:r>
          <a:r>
            <a:rPr lang="en-US" sz="1100" b="0" i="0">
              <a:latin typeface="+mn-lt"/>
            </a:rPr>
            <a:t>" "F" _"w"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(("m" _"air" ^"3" )/("k" "g" _"soil"  ))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"Q" /"C" _"wind" 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(("g" /("m" ^"2"  "-s" ))/("kg" /"m" ^"3"  ))</a:t>
          </a:r>
          <a:r>
            <a:rPr lang="en-US" sz="1100" b="0" i="0">
              <a:latin typeface="Cambria Math"/>
            </a:rPr>
            <a:t>" x </a:t>
          </a:r>
          <a:r>
            <a:rPr lang="en-US" sz="1100" b="0" i="0">
              <a:latin typeface="+mn-lt"/>
            </a:rPr>
            <a:t>"  "3600 " ("s" /"hour" )/(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"0.036 x " ("1-V" )"x " (("U" _"m"  " " ("m" /"s" ))/("U" _"t"  " " ("m" /"s" ) ))^"3"  " x F(x)" )</a:t>
          </a:r>
          <a:endParaRPr lang="en-US" sz="1100" b="0">
            <a:latin typeface="+mn-lt"/>
          </a:endParaRPr>
        </a:p>
        <a:p>
          <a:r>
            <a:rPr lang="en-US" sz="1100" b="0" i="0">
              <a:latin typeface="+mn-lt"/>
            </a:rPr>
            <a:t>"Q" /"C" _"wind"   </a:t>
          </a:r>
          <a:r>
            <a:rPr lang="en-US" sz="1100" b="0" i="0">
              <a:latin typeface="Cambria Math"/>
            </a:rPr>
            <a:t>"=A x</a:t>
          </a:r>
          <a:r>
            <a:rPr lang="en-US" sz="1100" b="0" i="0">
              <a:latin typeface="+mn-lt"/>
            </a:rPr>
            <a:t>"  "exp" ⁡[("ln" "A" _"s"  " " ("acre" )"-B" )^"2" /"C" ]</a:t>
          </a:r>
          <a:endParaRPr lang="en-US" sz="1100"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69272</xdr:colOff>
      <xdr:row>34</xdr:row>
      <xdr:rowOff>87649</xdr:rowOff>
    </xdr:from>
    <xdr:ext cx="10363200" cy="1869306"/>
    <xdr:sp macro="" textlink="">
      <xdr:nvSpPr>
        <xdr:cNvPr id="2" name="TextBox 1"/>
        <xdr:cNvSpPr txBox="1"/>
      </xdr:nvSpPr>
      <xdr:spPr>
        <a:xfrm>
          <a:off x="69272" y="6789785"/>
          <a:ext cx="10363200" cy="186930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Consumption of fowl - direct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_"rec-fowl-ing"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"TR" /("S" "F" _"f"  " " ("risk" /"pCi" )"x E" "F" _"rec"  " " ("days" /"yr" )" x E" "D" _"rec"  " " ("yrs" )" x IRG" "F" _"rec"  " " ("g" /"day" ) )</a:t>
          </a:r>
          <a:endParaRPr lang="en-US" sz="1100">
            <a:latin typeface="+mn-lt"/>
          </a:endParaRPr>
        </a:p>
        <a:p>
          <a:r>
            <a:rPr lang="en-US" sz="1100" b="1" u="sng"/>
            <a:t>Consumption of fowl - back-calculated</a:t>
          </a:r>
          <a:r>
            <a:rPr lang="en-US" sz="1100" b="1" u="sng" baseline="0"/>
            <a:t> to soil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_"soil-rec-fowl-ing"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("PR" "G" _"rec-fowl-ing"  " 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))/("T" "F" _"fowl"  " " ("day" /"kg" )" x " [("Q" _"p-fowl"  " " ("kg" /"day" )" x " "f" _"p-fowl"  " " ("1" )" x " "f" _"s-fowl"  " " ("1" )" x " ("R" _"upp"  "+" "R" _"es"  ))"+" ("Q" _"s-fowl"  " " ("kg" /"day" )"x " "f" _"p-fowl"  " " ("1" ))] ) </a:t>
          </a:r>
          <a:r>
            <a:rPr lang="en-US" sz="1100" b="0" i="0">
              <a:latin typeface="Cambria Math"/>
            </a:rPr>
            <a:t>" x </a:t>
          </a:r>
          <a:r>
            <a:rPr lang="en-US" sz="1100" b="0" i="0">
              <a:latin typeface="+mn-lt"/>
              <a:ea typeface="Cambria Math"/>
            </a:rPr>
            <a:t>" (("</a:t>
          </a:r>
          <a:r>
            <a:rPr lang="en-US" sz="1100" b="0" i="0">
              <a:latin typeface="+mn-lt"/>
            </a:rPr>
            <a:t>t" _"r"  " " ("yr" )" x </a:t>
          </a:r>
          <a:r>
            <a:rPr lang="el-GR" sz="1100" b="0" i="0">
              <a:latin typeface="+mn-lt"/>
              <a:ea typeface="Cambria Math"/>
            </a:rPr>
            <a:t>λ</a:t>
          </a:r>
          <a:r>
            <a:rPr lang="en-US" sz="1100" b="0" i="0">
              <a:latin typeface="+mn-lt"/>
              <a:ea typeface="Cambria Math"/>
            </a:rPr>
            <a:t> " ("1" /"yr" ))/(("1-" "e" ^("-λ" "t" _"r"  ) ) ))</a:t>
          </a:r>
          <a:endParaRPr lang="en-US" sz="1100">
            <a:latin typeface="+mn-lt"/>
          </a:endParaRPr>
        </a:p>
        <a:p>
          <a:r>
            <a:rPr lang="en-US" sz="1100" b="0" i="0">
              <a:latin typeface="+mn-lt"/>
            </a:rPr>
            <a:t>"R" _"upp"  </a:t>
          </a:r>
          <a:r>
            <a:rPr lang="en-US" sz="1100" b="0" i="0">
              <a:latin typeface="Cambria Math"/>
            </a:rPr>
            <a:t>"=B</a:t>
          </a:r>
          <a:r>
            <a:rPr lang="en-US" sz="1100" b="0" i="0">
              <a:latin typeface="+mn-lt"/>
            </a:rPr>
            <a:t>" "v" _"dry"  </a:t>
          </a:r>
          <a:r>
            <a:rPr lang="en-US" sz="1100" b="0" i="0">
              <a:latin typeface="Cambria Math"/>
            </a:rPr>
            <a:t>"               </a:t>
          </a:r>
          <a:r>
            <a:rPr lang="en-US" sz="1100" b="0" i="0">
              <a:latin typeface="+mn-lt"/>
            </a:rPr>
            <a:t>" "R" _"es"  </a:t>
          </a:r>
          <a:r>
            <a:rPr lang="en-US" sz="1100" b="0" i="0">
              <a:latin typeface="Cambria Math"/>
            </a:rPr>
            <a:t>"=MLF (0.25)</a:t>
          </a:r>
          <a:r>
            <a:rPr lang="en-US" sz="1100" b="0" i="0">
              <a:latin typeface="+mn-lt"/>
            </a:rPr>
            <a:t>"</a:t>
          </a:r>
          <a:endParaRPr lang="en-US" sz="1100">
            <a:latin typeface="+mn-lt"/>
          </a:endParaRPr>
        </a:p>
        <a:p>
          <a:r>
            <a:rPr lang="en-US" sz="1100" b="1" u="sng"/>
            <a:t>Consumption of fowl - back-calculated</a:t>
          </a:r>
          <a:r>
            <a:rPr lang="en-US" sz="1100" b="1" u="sng" baseline="0"/>
            <a:t> to water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_"water-rec-fowl-ing"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"L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("PR" "G" _"rec-fowl-ing"  " 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))/("T" "F" _"fowl"  " " ("day" /"kg" )" x " "Q" _"w-fowl"  " " ("L" /"day" )" x " ("1 kg" /"1000 g" ) )</a:t>
          </a:r>
          <a:endParaRPr lang="en-US" sz="1100">
            <a:latin typeface="+mn-lt"/>
          </a:endParaRPr>
        </a:p>
      </xdr:txBody>
    </xdr:sp>
    <xdr:clientData/>
  </xdr:oneCellAnchor>
  <xdr:oneCellAnchor>
    <xdr:from>
      <xdr:col>12</xdr:col>
      <xdr:colOff>138545</xdr:colOff>
      <xdr:row>11</xdr:row>
      <xdr:rowOff>138544</xdr:rowOff>
    </xdr:from>
    <xdr:ext cx="4520046" cy="2909455"/>
    <xdr:sp macro="" textlink="">
      <xdr:nvSpPr>
        <xdr:cNvPr id="3" name="TextBox 2"/>
        <xdr:cNvSpPr txBox="1"/>
      </xdr:nvSpPr>
      <xdr:spPr>
        <a:xfrm>
          <a:off x="8243454" y="2285999"/>
          <a:ext cx="4520046" cy="290945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/>
            <a:t>Consumption of game - direct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_"rec-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latin typeface="+mn-lt"/>
            </a:rPr>
            <a:t>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"TR" /("S" "F" _"f"  " " ("risk" /"pCi" )"x E" "F" _"rec"  " " ("days" /"yr" )" x E" "D" _"rec"  " " ("yrs" )" x IRG" "L" _"rec"  " " ("g" /"day" ) )</a:t>
          </a:r>
          <a:endParaRPr lang="en-US" sz="1100">
            <a:latin typeface="+mn-lt"/>
          </a:endParaRPr>
        </a:p>
        <a:p>
          <a:r>
            <a:rPr lang="en-US" sz="1100" b="1" u="sng"/>
            <a:t>Consumption of </a:t>
          </a: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1" u="sng"/>
            <a:t> - back-calculated</a:t>
          </a:r>
          <a:r>
            <a:rPr lang="en-US" sz="1100" b="1" u="sng" baseline="0"/>
            <a:t> to soil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_"soil-rec-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latin typeface="+mn-lt"/>
            </a:rPr>
            <a:t>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("PR" "G" _"rec-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latin typeface="+mn-lt"/>
            </a:rPr>
            <a:t>-ing"  " 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))/("T" "F"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("day" /"kg" )" x " [("Q" _"p-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("kg" /"day" )" x " "f" _"p-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("1" )" x " "f" _"s-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("1" )" x " ("R" _"upp"  "+" "R" _"es"  ))"+" ("Q" _"s-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("kg" /"day" )"x " "f" _"p-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("1" ))] ) </a:t>
          </a:r>
          <a:r>
            <a:rPr lang="en-US" sz="1100" b="0" i="0">
              <a:latin typeface="Cambria Math"/>
            </a:rPr>
            <a:t>" x </a:t>
          </a:r>
          <a:r>
            <a:rPr lang="en-US" sz="1100" b="0" i="0">
              <a:latin typeface="+mn-lt"/>
              <a:ea typeface="Cambria Math"/>
            </a:rPr>
            <a:t>" (("</a:t>
          </a:r>
          <a:r>
            <a:rPr lang="en-US" sz="1100" b="0" i="0">
              <a:latin typeface="+mn-lt"/>
            </a:rPr>
            <a:t>t" _"r"  " " ("yr" )" x </a:t>
          </a:r>
          <a:r>
            <a:rPr lang="el-GR" sz="1100" b="0" i="0">
              <a:latin typeface="+mn-lt"/>
              <a:ea typeface="Cambria Math"/>
            </a:rPr>
            <a:t>λ</a:t>
          </a:r>
          <a:r>
            <a:rPr lang="en-US" sz="1100" b="0" i="0">
              <a:latin typeface="+mn-lt"/>
              <a:ea typeface="Cambria Math"/>
            </a:rPr>
            <a:t> " ("1" /"yr" ))/(("1-" "e" ^("-λ" "t" _"r"  ) ) ))</a:t>
          </a:r>
          <a:endParaRPr lang="en-US" sz="1100">
            <a:latin typeface="+mn-lt"/>
          </a:endParaRPr>
        </a:p>
        <a:p>
          <a:r>
            <a:rPr lang="en-US" sz="1100" b="0" i="0">
              <a:latin typeface="+mn-lt"/>
            </a:rPr>
            <a:t>"R" _"upp"  </a:t>
          </a:r>
          <a:r>
            <a:rPr lang="en-US" sz="1100" b="0" i="0">
              <a:latin typeface="Cambria Math"/>
            </a:rPr>
            <a:t>"=B</a:t>
          </a:r>
          <a:r>
            <a:rPr lang="en-US" sz="1100" b="0" i="0">
              <a:latin typeface="+mn-lt"/>
            </a:rPr>
            <a:t>" "v" _"dry"  </a:t>
          </a:r>
          <a:r>
            <a:rPr lang="en-US" sz="1100" b="0" i="0">
              <a:latin typeface="Cambria Math"/>
            </a:rPr>
            <a:t>"               </a:t>
          </a:r>
          <a:r>
            <a:rPr lang="en-US" sz="1100" b="0" i="0">
              <a:latin typeface="+mn-lt"/>
            </a:rPr>
            <a:t>" "R" _"es"  </a:t>
          </a:r>
          <a:r>
            <a:rPr lang="en-US" sz="1100" b="0" i="0">
              <a:latin typeface="Cambria Math"/>
            </a:rPr>
            <a:t>"=MLF (0.25)</a:t>
          </a:r>
          <a:r>
            <a:rPr lang="en-US" sz="1100" b="0" i="0">
              <a:latin typeface="+mn-lt"/>
            </a:rPr>
            <a:t>"</a:t>
          </a:r>
          <a:endParaRPr lang="en-US" sz="1100">
            <a:latin typeface="+mn-lt"/>
          </a:endParaRPr>
        </a:p>
        <a:p>
          <a:r>
            <a:rPr lang="en-US" sz="1100" b="1" u="sng"/>
            <a:t>Consumption of </a:t>
          </a: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1" u="sng"/>
            <a:t> - back-calculated</a:t>
          </a:r>
          <a:r>
            <a:rPr lang="en-US" sz="1100" b="1" u="sng" baseline="0"/>
            <a:t> to water</a:t>
          </a:r>
        </a:p>
        <a:p>
          <a:r>
            <a:rPr lang="en-US" sz="1100" b="0" i="0">
              <a:latin typeface="Cambria Math"/>
            </a:rPr>
            <a:t>"PR</a:t>
          </a:r>
          <a:r>
            <a:rPr lang="en-US" sz="1100" b="0" i="0">
              <a:latin typeface="+mn-lt"/>
            </a:rPr>
            <a:t>" "G" _"water-rec-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latin typeface="+mn-lt"/>
            </a:rPr>
            <a:t>-ing"  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"L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</a:t>
          </a:r>
          <a:r>
            <a:rPr lang="en-US" sz="1100" b="0" i="0">
              <a:latin typeface="Cambria Math"/>
            </a:rPr>
            <a:t>"=</a:t>
          </a:r>
          <a:r>
            <a:rPr lang="en-US" sz="1100" b="0" i="0">
              <a:latin typeface="+mn-lt"/>
            </a:rPr>
            <a:t>"  ("PR" "G" _"rec-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latin typeface="+mn-lt"/>
            </a:rPr>
            <a:t>-ing"  " " ("pCi</a:t>
          </a:r>
          <a:r>
            <a:rPr lang="en-US" sz="1100" b="0" i="0">
              <a:latin typeface="Cambria Math"/>
            </a:rPr>
            <a:t>" ∕</a:t>
          </a:r>
          <a:r>
            <a:rPr lang="en-US" sz="1100" b="0" i="0">
              <a:latin typeface="+mn-lt"/>
            </a:rPr>
            <a:t>"g</a:t>
          </a:r>
          <a:r>
            <a:rPr lang="en-US" sz="1100" b="0" i="0">
              <a:latin typeface="Cambria Math"/>
            </a:rPr>
            <a:t>" </a:t>
          </a:r>
          <a:r>
            <a:rPr lang="en-US" sz="1100" b="0" i="0">
              <a:latin typeface="+mn-lt"/>
            </a:rPr>
            <a:t>))/("T" "F"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("day" /"kg" )" x " "Q" _"w-</a:t>
          </a:r>
          <a:r>
            <a:rPr lang="en-US" sz="110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game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</a:t>
          </a:r>
          <a:r>
            <a:rPr lang="en-US" sz="1100" b="0" i="0">
              <a:latin typeface="+mn-lt"/>
            </a:rPr>
            <a:t> " ("L" /"day" )" x " ("1 kg" /"1000 g" ) )</a:t>
          </a:r>
          <a:endParaRPr lang="en-US" sz="1100">
            <a:latin typeface="+mn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35</xdr:row>
      <xdr:rowOff>47624</xdr:rowOff>
    </xdr:from>
    <xdr:ext cx="10110788" cy="2143126"/>
    <xdr:sp macro="" textlink="">
      <xdr:nvSpPr>
        <xdr:cNvPr id="2" name="TextBox 1"/>
        <xdr:cNvSpPr txBox="1"/>
      </xdr:nvSpPr>
      <xdr:spPr>
        <a:xfrm>
          <a:off x="104775" y="6715124"/>
          <a:ext cx="10110788" cy="2143126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Ingestion of Tapwater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_"rec−water−ing"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_"w"  " " ("risk" /"pCi" )" x IF" "W" _"rec−adj"  " " ("L" )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"IF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"W" _"rec−adj"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_"recw−c"  " " ("day" /"yr" )" x E" "D" _"recw−c"  " " ("yr" )" x E" "T" _"recw-c"  " " ("hr" /"event" )" x E" "V" _"recw-c"  " " ("events" /"day" )" x IR" "W" _"recw−c"  " " ("0.05 L" /"hr"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_"recw−a"  " " ("day" /"yr" )" x E" "D" _"recw−a"  " " ("yr" )" x E" "T" _"recw−a"  " " ("hr" /"event" )" x E" "V" _"recw−a"  " " ("events" /"day" )" x IR" "W" _"recw−a"  " " ("0.05 L" /"hr" ))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Immersion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_"rec−water−imm"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"TR" /("S" "F" _"imm"  " " (("risk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)/("pCi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"L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))" x " ("1 yr" /"8760 hr" )" x DF" "A" _"rec−adj"  " " ("hr" )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"DF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"A" _"rec−adj"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("hr"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_"recw−c"  " " ("day" /"yr" )" x E" "D" _"recw−c"  " " ("yr" )" x E" "V" _"recw−c"  " " ("events" /"day" )" x E" "T" _"recw−c"  " " ("hr" /"event" )" 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"+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("E" "F" _"recw−a"  " " ("day" /"yr" )" x E" "D" _"recw−a"  " " ("yr" )" x E" "V" _"recw−a"  " " ("events" /"day" )" x E" "T" _"recw−a"  " " ("hr" /"event" ))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>
            <a:effectLst/>
          </a:endParaRPr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"G" _"rec−water−tot" 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("pCi" ∕"L" )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"=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"1" /("1" /("PR" "G" _"rec−water−ing"  ) "+"  "1" /("PR" "G" _"rec−water−imm"  ))</a:t>
          </a:r>
          <a:endParaRPr lang="en-US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857251</xdr:colOff>
      <xdr:row>47</xdr:row>
      <xdr:rowOff>142875</xdr:rowOff>
    </xdr:from>
    <xdr:ext cx="9702143" cy="1833563"/>
    <xdr:sp macro="" textlink="">
      <xdr:nvSpPr>
        <xdr:cNvPr id="2" name="TextBox 1"/>
        <xdr:cNvSpPr txBox="1"/>
      </xdr:nvSpPr>
      <xdr:spPr>
        <a:xfrm>
          <a:off x="2428876" y="9096375"/>
          <a:ext cx="9702143" cy="183356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infinite depth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"PRGrec−soil−sv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"ext−sv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"365 days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AC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"ext−sv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┤┤ 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 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"PRGrec−soil−1cm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"ext−1cm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E" "F" _"rec"  " " ("days" /"yr" )" x " ("1yr" /"365 days" )" x E" "D" _"rec"  " " ("yr" )"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AC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"ext−1cm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┤┤ 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"PRGrec−soil−5cm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"ext−5cm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E" "F" _"rec"  " " ("days" /"yr" )" x " ("1yr" /"365 days" )" x E" "D" _"rec"  " " ("yr" )"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AC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"ext−5cm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┤┤ 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at 15cm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"PRGrec−soil−15cm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"ext−15cm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E" "F" _"rec"  " " ("days" /"yr" )" x " ("1yr" /"365 days" )" x E" "D" _"rec"  " " ("yr" )"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AC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"ext−15cm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┤┤ )</a:t>
          </a:r>
          <a:endParaRPr lang="en-US" sz="1100"/>
        </a:p>
        <a:p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 External Exposure to contamination dust</a:t>
          </a:r>
          <a:endParaRPr lang="en-US">
            <a:effectLst/>
          </a:endParaRPr>
        </a:p>
        <a:p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"PRGrec−soil−gp 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)"=" 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"TR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λ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)┤/((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"1−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^(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"−λ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)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"ext−gp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"yr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)/├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"pCi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∕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"g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┤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E" "F" _"rec"  " " ("days" /"yr" )" x " ("1yr" /"365 days" )" x E" "D" _"rec"  " " ("yr" )"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├ ├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"rec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"8 hrs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 day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/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"24 hr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x GS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"o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 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(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"1.0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) 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"x AC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_</a:t>
          </a: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"ext−gp</a:t>
          </a:r>
          <a:r>
            <a:rPr lang="en-US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"  ┤┤ )</a:t>
          </a:r>
          <a:endParaRPr lang="en-US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16" zoomScale="55" zoomScaleNormal="55" workbookViewId="0">
      <selection activeCell="BI52" sqref="BI52"/>
    </sheetView>
  </sheetViews>
  <sheetFormatPr defaultRowHeight="15" x14ac:dyDescent="0.25"/>
  <cols>
    <col min="1" max="1" width="9" customWidth="1"/>
    <col min="2" max="2" width="8.5703125" customWidth="1"/>
    <col min="3" max="3" width="6.140625" customWidth="1"/>
    <col min="4" max="5" width="9.28515625" bestFit="1" customWidth="1"/>
    <col min="6" max="6" width="9.42578125" bestFit="1" customWidth="1"/>
    <col min="7" max="7" width="11.42578125" bestFit="1" customWidth="1"/>
    <col min="8" max="8" width="8.5703125" customWidth="1"/>
    <col min="9" max="9" width="8.28515625" bestFit="1" customWidth="1"/>
    <col min="10" max="10" width="8.140625" bestFit="1" customWidth="1"/>
    <col min="11" max="11" width="9.28515625" customWidth="1"/>
    <col min="12" max="12" width="8.5703125" customWidth="1"/>
    <col min="13" max="13" width="9.42578125" bestFit="1" customWidth="1"/>
    <col min="14" max="14" width="9.28515625" customWidth="1"/>
    <col min="15" max="16" width="8.5703125" customWidth="1"/>
  </cols>
  <sheetData>
    <row r="1" spans="1:16" x14ac:dyDescent="0.25">
      <c r="A1" s="79" t="s">
        <v>0</v>
      </c>
      <c r="B1" s="80" t="s">
        <v>1</v>
      </c>
      <c r="C1" s="76"/>
      <c r="D1" s="198" t="s">
        <v>113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5" t="s">
        <v>34</v>
      </c>
    </row>
    <row r="2" spans="1:16" x14ac:dyDescent="0.25">
      <c r="A2" s="81" t="s">
        <v>2</v>
      </c>
      <c r="B2" s="26">
        <v>9.9999999999999995E-7</v>
      </c>
      <c r="C2" s="77" t="s">
        <v>35</v>
      </c>
      <c r="D2" s="77" t="s">
        <v>119</v>
      </c>
      <c r="E2" s="7">
        <v>432</v>
      </c>
      <c r="F2" s="7">
        <f>0.693/E2</f>
        <v>1.6041666666666665E-3</v>
      </c>
      <c r="G2" s="7">
        <f>(1-EXP(-(F2)*$B$3))</f>
        <v>3.0019360213291768E-2</v>
      </c>
      <c r="H2" s="7">
        <f>'Isotope Specific Factors'!E11</f>
        <v>1.8400000000000001E-10</v>
      </c>
      <c r="I2" s="7" t="e">
        <f>'Isotope Specific Factors'!#REF!</f>
        <v>#REF!</v>
      </c>
      <c r="J2" s="7">
        <f>'Isotope Specific Factors'!D3</f>
        <v>2.77E-8</v>
      </c>
      <c r="K2" s="7">
        <f>'Isotope Specific Factors'!I3</f>
        <v>5.8100000000000005E-11</v>
      </c>
      <c r="L2" s="7">
        <v>1</v>
      </c>
      <c r="M2" s="8">
        <v>0.108</v>
      </c>
    </row>
    <row r="3" spans="1:16" x14ac:dyDescent="0.25">
      <c r="A3" s="81" t="s">
        <v>3</v>
      </c>
      <c r="B3" s="82">
        <v>19</v>
      </c>
      <c r="C3" s="77" t="s">
        <v>36</v>
      </c>
      <c r="D3" s="77" t="s">
        <v>119</v>
      </c>
      <c r="E3" s="7">
        <v>5.27</v>
      </c>
      <c r="F3" s="7">
        <f t="shared" ref="F3:F5" si="0">0.693/E3</f>
        <v>0.13149905123339659</v>
      </c>
      <c r="G3" s="7">
        <f t="shared" ref="G3:G5" si="1">(1-EXP(-(F3)*$B$3))</f>
        <v>0.91779029954116187</v>
      </c>
      <c r="H3" s="7">
        <f>'Isotope Specific Factors'!E12</f>
        <v>3.8100000000000003E-11</v>
      </c>
      <c r="I3" s="7" t="e">
        <f>'Isotope Specific Factors'!#REF!</f>
        <v>#REF!</v>
      </c>
      <c r="J3" s="7">
        <f>'Isotope Specific Factors'!D4</f>
        <v>1.24E-5</v>
      </c>
      <c r="K3" s="7">
        <f>'Isotope Specific Factors'!I4</f>
        <v>1.1299999999999999E-8</v>
      </c>
      <c r="L3" s="7">
        <v>1</v>
      </c>
      <c r="M3" s="8">
        <v>9.8299999999999998E-2</v>
      </c>
    </row>
    <row r="4" spans="1:16" x14ac:dyDescent="0.25">
      <c r="A4" s="86" t="s">
        <v>4</v>
      </c>
      <c r="B4" s="82">
        <f>($B$5*$B$6*$B$7)+($B$8*$B$9*$B$10)</f>
        <v>575000</v>
      </c>
      <c r="C4" s="77" t="s">
        <v>37</v>
      </c>
      <c r="D4" s="77" t="s">
        <v>119</v>
      </c>
      <c r="E4" s="7">
        <v>12.3</v>
      </c>
      <c r="F4" s="7">
        <f t="shared" si="0"/>
        <v>5.6341463414634141E-2</v>
      </c>
      <c r="G4" s="7">
        <f t="shared" si="1"/>
        <v>0.65715876300588172</v>
      </c>
      <c r="H4" s="7">
        <f>'Isotope Specific Factors'!E14</f>
        <v>0</v>
      </c>
      <c r="I4" s="7" t="e">
        <f>'Isotope Specific Factors'!#REF!</f>
        <v>#REF!</v>
      </c>
      <c r="J4" s="7">
        <f>'Isotope Specific Factors'!D6</f>
        <v>0</v>
      </c>
      <c r="K4" s="7">
        <f>'Isotope Specific Factors'!I6</f>
        <v>0</v>
      </c>
      <c r="L4" s="7">
        <v>1</v>
      </c>
      <c r="M4" s="8">
        <v>0.9</v>
      </c>
    </row>
    <row r="5" spans="1:16" ht="15.75" thickBot="1" x14ac:dyDescent="0.3">
      <c r="A5" s="81" t="s">
        <v>5</v>
      </c>
      <c r="B5" s="82">
        <v>250</v>
      </c>
      <c r="C5" s="78" t="s">
        <v>38</v>
      </c>
      <c r="D5" s="78" t="s">
        <v>119</v>
      </c>
      <c r="E5" s="10">
        <v>87.7</v>
      </c>
      <c r="F5" s="10">
        <f t="shared" si="0"/>
        <v>7.9019384264538192E-3</v>
      </c>
      <c r="G5" s="10">
        <f t="shared" si="1"/>
        <v>0.13940978627875933</v>
      </c>
      <c r="H5" s="10">
        <f>'Isotope Specific Factors'!E15</f>
        <v>2.25E-10</v>
      </c>
      <c r="I5" s="10" t="e">
        <f>'Isotope Specific Factors'!#REF!</f>
        <v>#REF!</v>
      </c>
      <c r="J5" s="7">
        <f>'Isotope Specific Factors'!D7</f>
        <v>6.9200000000000004E-11</v>
      </c>
      <c r="K5" s="7">
        <f>'Isotope Specific Factors'!I7</f>
        <v>2.5600000000000002E-13</v>
      </c>
      <c r="L5" s="10">
        <v>1</v>
      </c>
      <c r="M5" s="11">
        <v>0.17899999999999999</v>
      </c>
    </row>
    <row r="6" spans="1:16" x14ac:dyDescent="0.25">
      <c r="A6" s="81" t="s">
        <v>6</v>
      </c>
      <c r="B6" s="82">
        <v>4</v>
      </c>
    </row>
    <row r="7" spans="1:16" ht="15.75" thickBot="1" x14ac:dyDescent="0.3">
      <c r="A7" s="81" t="s">
        <v>7</v>
      </c>
      <c r="B7" s="82">
        <v>200</v>
      </c>
    </row>
    <row r="8" spans="1:16" ht="15.75" thickBot="1" x14ac:dyDescent="0.3">
      <c r="A8" s="81" t="s">
        <v>8</v>
      </c>
      <c r="B8" s="82">
        <v>250</v>
      </c>
      <c r="D8" s="216" t="s">
        <v>39</v>
      </c>
      <c r="E8" s="217"/>
      <c r="F8" s="217"/>
      <c r="G8" s="217"/>
      <c r="H8" s="218"/>
      <c r="J8" s="219" t="s">
        <v>40</v>
      </c>
      <c r="K8" s="220"/>
      <c r="L8" s="220"/>
      <c r="M8" s="220"/>
      <c r="N8" s="220"/>
      <c r="O8" s="220"/>
      <c r="P8" s="221"/>
    </row>
    <row r="9" spans="1:16" ht="15.75" thickBot="1" x14ac:dyDescent="0.3">
      <c r="A9" s="81" t="s">
        <v>9</v>
      </c>
      <c r="B9" s="82">
        <v>15</v>
      </c>
      <c r="D9" s="12"/>
      <c r="E9" s="13" t="s">
        <v>41</v>
      </c>
      <c r="F9" s="14" t="s">
        <v>42</v>
      </c>
      <c r="G9" s="14" t="s">
        <v>43</v>
      </c>
      <c r="H9" s="15" t="s">
        <v>44</v>
      </c>
      <c r="J9" s="16"/>
      <c r="K9" s="222" t="s">
        <v>45</v>
      </c>
      <c r="L9" s="223"/>
      <c r="M9" s="224"/>
      <c r="N9" s="225" t="s">
        <v>46</v>
      </c>
      <c r="O9" s="226"/>
      <c r="P9" s="227"/>
    </row>
    <row r="10" spans="1:16" ht="15.75" thickBot="1" x14ac:dyDescent="0.3">
      <c r="A10" s="81" t="s">
        <v>10</v>
      </c>
      <c r="B10" s="82">
        <v>100</v>
      </c>
      <c r="D10" s="206" t="s">
        <v>35</v>
      </c>
      <c r="E10" s="17">
        <f>$B$2*$B$3*$F$2</f>
        <v>3.0479166666666662E-8</v>
      </c>
      <c r="F10" s="17">
        <f>$B$2*$B$3*$F$2</f>
        <v>3.0479166666666662E-8</v>
      </c>
      <c r="G10" s="17">
        <f>$B$2*$B$3*$F$2</f>
        <v>3.0479166666666662E-8</v>
      </c>
      <c r="H10" s="18">
        <f>1</f>
        <v>1</v>
      </c>
      <c r="J10" s="19"/>
      <c r="K10" s="20" t="s">
        <v>42</v>
      </c>
      <c r="L10" s="13" t="s">
        <v>43</v>
      </c>
      <c r="M10" s="21" t="s">
        <v>44</v>
      </c>
      <c r="N10" s="22" t="s">
        <v>42</v>
      </c>
      <c r="O10" s="23" t="s">
        <v>43</v>
      </c>
      <c r="P10" s="24" t="s">
        <v>44</v>
      </c>
    </row>
    <row r="11" spans="1:16" x14ac:dyDescent="0.25">
      <c r="A11" s="86" t="s">
        <v>11</v>
      </c>
      <c r="B11" s="82">
        <f>($B$5*$B$6*$B$12*(1/24)*$B$13)+($B$8*$B$9*$B$14*(1/24)*$B$15)</f>
        <v>42500</v>
      </c>
      <c r="D11" s="207"/>
      <c r="E11" s="25">
        <f>$G2*H$2*$B$4*(1/1000)</f>
        <v>3.1760483105662694E-9</v>
      </c>
      <c r="F11" s="25" t="e">
        <f>G2*I2*$B$11*(1/$B$16)*1000</f>
        <v>#REF!</v>
      </c>
      <c r="G11" s="25">
        <f>$G2*J$2*$B$26*(1/365)*$B$27*$B$28*(1/24)*L2*M2</f>
        <v>5.8435357611903729E-10</v>
      </c>
      <c r="H11" s="26" t="e">
        <f>(1/E12)+(1/F12)+(1/G12)</f>
        <v>#REF!</v>
      </c>
      <c r="J11" s="209" t="s">
        <v>35</v>
      </c>
      <c r="K11" s="17">
        <f>$B$2*$B$3*$F$2</f>
        <v>3.0479166666666662E-8</v>
      </c>
      <c r="L11" s="17">
        <f>$B$2*$B$3*$F$2</f>
        <v>3.0479166666666662E-8</v>
      </c>
      <c r="M11" s="27">
        <f>1</f>
        <v>1</v>
      </c>
      <c r="N11" s="28">
        <f>$B$2</f>
        <v>9.9999999999999995E-7</v>
      </c>
      <c r="O11" s="28">
        <f>$B$2</f>
        <v>9.9999999999999995E-7</v>
      </c>
      <c r="P11" s="18">
        <f>1</f>
        <v>1</v>
      </c>
    </row>
    <row r="12" spans="1:16" ht="15.75" thickBot="1" x14ac:dyDescent="0.3">
      <c r="A12" s="81" t="s">
        <v>12</v>
      </c>
      <c r="B12" s="82">
        <v>12</v>
      </c>
      <c r="D12" s="208"/>
      <c r="E12" s="29">
        <f>E10/E11</f>
        <v>9.5965689707133013</v>
      </c>
      <c r="F12" s="29" t="e">
        <f t="shared" ref="F12:H12" si="2">F10/F11</f>
        <v>#REF!</v>
      </c>
      <c r="G12" s="29">
        <f t="shared" si="2"/>
        <v>52.158774947683085</v>
      </c>
      <c r="H12" s="30" t="e">
        <f t="shared" si="2"/>
        <v>#REF!</v>
      </c>
      <c r="J12" s="210" t="s">
        <v>36</v>
      </c>
      <c r="K12" s="31" t="e">
        <f>$G2*$I2*$B$11</f>
        <v>#REF!</v>
      </c>
      <c r="L12" s="31">
        <f>$G2*$K2*$B$26*(1/365)*$B$27*$B$28*(1/24)*$L2</f>
        <v>1.1348757445018077E-11</v>
      </c>
      <c r="M12" s="32" t="e">
        <f>(1/K13)+(1/L13)</f>
        <v>#REF!</v>
      </c>
      <c r="N12" s="31" t="e">
        <f>$I2*$B$11</f>
        <v>#REF!</v>
      </c>
      <c r="O12" s="31">
        <f>$K2*$B$26*(1/365)*$B$27*$B$28*(1/24)*$L2</f>
        <v>3.7804794520547942E-10</v>
      </c>
      <c r="P12" s="26" t="e">
        <f>(1/N13)+(1/O13)</f>
        <v>#REF!</v>
      </c>
    </row>
    <row r="13" spans="1:16" ht="15.75" thickBot="1" x14ac:dyDescent="0.3">
      <c r="A13" s="81" t="s">
        <v>13</v>
      </c>
      <c r="B13" s="82">
        <v>10</v>
      </c>
      <c r="D13" s="206" t="s">
        <v>36</v>
      </c>
      <c r="E13" s="17">
        <f>$B$2*$B$3*$F$3</f>
        <v>2.4984819734345347E-6</v>
      </c>
      <c r="F13" s="17">
        <f>$B$2*$B$3*$F$3</f>
        <v>2.4984819734345347E-6</v>
      </c>
      <c r="G13" s="17">
        <f>$B$2*$B$3*$F$3</f>
        <v>2.4984819734345347E-6</v>
      </c>
      <c r="H13" s="18">
        <f>1</f>
        <v>1</v>
      </c>
      <c r="J13" s="211" t="s">
        <v>37</v>
      </c>
      <c r="K13" s="33" t="e">
        <f>K11/K12</f>
        <v>#REF!</v>
      </c>
      <c r="L13" s="34">
        <f t="shared" ref="L13:P13" si="3">L11/L12</f>
        <v>2685.6831520393916</v>
      </c>
      <c r="M13" s="35" t="e">
        <f t="shared" si="3"/>
        <v>#REF!</v>
      </c>
      <c r="N13" s="33" t="e">
        <f t="shared" si="3"/>
        <v>#REF!</v>
      </c>
      <c r="O13" s="34">
        <f t="shared" si="3"/>
        <v>2645.1671347042306</v>
      </c>
      <c r="P13" s="30" t="e">
        <f t="shared" si="3"/>
        <v>#REF!</v>
      </c>
    </row>
    <row r="14" spans="1:16" x14ac:dyDescent="0.25">
      <c r="A14" s="81" t="s">
        <v>14</v>
      </c>
      <c r="B14" s="82">
        <v>12</v>
      </c>
      <c r="D14" s="207"/>
      <c r="E14" s="25">
        <f>$G3*H$3*$B$4*(1/1000)</f>
        <v>2.0106490987198009E-8</v>
      </c>
      <c r="F14" s="25" t="e">
        <f>G3*I3*$B$11*(1/$B$16)*1000</f>
        <v>#REF!</v>
      </c>
      <c r="G14" s="25">
        <f>$G3*J$3*$B$26*(1/365)*$B$27*$B$28*(1/24)*L3*M3</f>
        <v>7.2792966049375171E-6</v>
      </c>
      <c r="H14" s="26" t="e">
        <f>(1/E15)+(1/F15)+(1/G15)</f>
        <v>#REF!</v>
      </c>
      <c r="J14" s="209" t="s">
        <v>36</v>
      </c>
      <c r="K14" s="17">
        <f>$B$2*$B$3*$F$3</f>
        <v>2.4984819734345347E-6</v>
      </c>
      <c r="L14" s="17">
        <f>$B$2*$B$3*$F$3</f>
        <v>2.4984819734345347E-6</v>
      </c>
      <c r="M14" s="27">
        <f>1</f>
        <v>1</v>
      </c>
      <c r="N14" s="28">
        <f>$B$2</f>
        <v>9.9999999999999995E-7</v>
      </c>
      <c r="O14" s="28">
        <f>$B$2</f>
        <v>9.9999999999999995E-7</v>
      </c>
      <c r="P14" s="18">
        <f>1</f>
        <v>1</v>
      </c>
    </row>
    <row r="15" spans="1:16" ht="15.75" thickBot="1" x14ac:dyDescent="0.3">
      <c r="A15" s="81" t="s">
        <v>15</v>
      </c>
      <c r="B15" s="82">
        <v>20</v>
      </c>
      <c r="D15" s="208"/>
      <c r="E15" s="29">
        <f>E13/E14</f>
        <v>124.26245708539305</v>
      </c>
      <c r="F15" s="29" t="e">
        <f t="shared" ref="F15:H15" si="4">F13/F14</f>
        <v>#REF!</v>
      </c>
      <c r="G15" s="29">
        <f t="shared" si="4"/>
        <v>0.34323123634498209</v>
      </c>
      <c r="H15" s="30" t="e">
        <f t="shared" si="4"/>
        <v>#REF!</v>
      </c>
      <c r="J15" s="210" t="s">
        <v>35</v>
      </c>
      <c r="K15" s="31" t="e">
        <f>$G3*$I3*$B$11</f>
        <v>#REF!</v>
      </c>
      <c r="L15" s="31">
        <f>$G3*$K3*$B$26*(1/365)*$B$27*$B$28*(1/24)*$L3</f>
        <v>6.7482731955988846E-8</v>
      </c>
      <c r="M15" s="32" t="e">
        <f>(1/K16)+(1/L16)</f>
        <v>#REF!</v>
      </c>
      <c r="N15" s="31" t="e">
        <f>$I3*$B$11</f>
        <v>#REF!</v>
      </c>
      <c r="O15" s="31">
        <f>$K3*$B$26*(1/365)*$B$27*$B$28*(1/24)*$L3</f>
        <v>7.3527397260273959E-8</v>
      </c>
      <c r="P15" s="26" t="e">
        <f>(1/N16)+(1/O16)</f>
        <v>#REF!</v>
      </c>
    </row>
    <row r="16" spans="1:16" ht="15.75" thickBot="1" x14ac:dyDescent="0.3">
      <c r="A16" s="86" t="s">
        <v>16</v>
      </c>
      <c r="B16" s="26">
        <v>1359344473.5814338</v>
      </c>
      <c r="D16" s="206" t="s">
        <v>37</v>
      </c>
      <c r="E16" s="36"/>
      <c r="F16" s="17">
        <f>$B$2*$B$3*$F$4</f>
        <v>1.0704878048780485E-6</v>
      </c>
      <c r="G16" s="36"/>
      <c r="H16" s="18">
        <f>1</f>
        <v>1</v>
      </c>
      <c r="J16" s="211" t="s">
        <v>36</v>
      </c>
      <c r="K16" s="33" t="e">
        <f>K14/K15</f>
        <v>#REF!</v>
      </c>
      <c r="L16" s="34">
        <f t="shared" ref="L16:P16" si="5">L14/L15</f>
        <v>37.024019345630592</v>
      </c>
      <c r="M16" s="35" t="e">
        <f t="shared" si="5"/>
        <v>#REF!</v>
      </c>
      <c r="N16" s="33" t="e">
        <f t="shared" si="5"/>
        <v>#REF!</v>
      </c>
      <c r="O16" s="34">
        <f t="shared" si="5"/>
        <v>13.600372612948302</v>
      </c>
      <c r="P16" s="30" t="e">
        <f t="shared" si="5"/>
        <v>#REF!</v>
      </c>
    </row>
    <row r="17" spans="1:16" x14ac:dyDescent="0.25">
      <c r="A17" s="81" t="s">
        <v>17</v>
      </c>
      <c r="B17" s="83">
        <v>93.773582452087695</v>
      </c>
      <c r="D17" s="207"/>
      <c r="E17" s="37"/>
      <c r="F17" s="25" t="e">
        <f>$G4*I$4*$B$11*(1/17)*1000</f>
        <v>#REF!</v>
      </c>
      <c r="G17" s="37"/>
      <c r="H17" s="26" t="e">
        <f>(1/F18)</f>
        <v>#REF!</v>
      </c>
      <c r="J17" s="209" t="s">
        <v>37</v>
      </c>
      <c r="K17" s="17">
        <f>$B$2*$B$3*$F$4</f>
        <v>1.0704878048780485E-6</v>
      </c>
      <c r="L17" s="38"/>
      <c r="M17" s="27">
        <f>1</f>
        <v>1</v>
      </c>
      <c r="N17" s="28">
        <f>$B$2</f>
        <v>9.9999999999999995E-7</v>
      </c>
      <c r="O17" s="38"/>
      <c r="P17" s="18">
        <f>1</f>
        <v>1</v>
      </c>
    </row>
    <row r="18" spans="1:16" ht="15.75" thickBot="1" x14ac:dyDescent="0.3">
      <c r="A18" s="81" t="s">
        <v>18</v>
      </c>
      <c r="B18" s="82">
        <v>0.5</v>
      </c>
      <c r="D18" s="208"/>
      <c r="E18" s="39"/>
      <c r="F18" s="29" t="e">
        <f t="shared" ref="F18:H18" si="6">F16/F17</f>
        <v>#REF!</v>
      </c>
      <c r="G18" s="39"/>
      <c r="H18" s="30" t="e">
        <f t="shared" si="6"/>
        <v>#REF!</v>
      </c>
      <c r="J18" s="210" t="s">
        <v>38</v>
      </c>
      <c r="K18" s="31" t="e">
        <f>$G4*$I4*$B$11</f>
        <v>#REF!</v>
      </c>
      <c r="L18" s="40"/>
      <c r="M18" s="32" t="e">
        <f>(1/K19)</f>
        <v>#REF!</v>
      </c>
      <c r="N18" s="31" t="e">
        <f>$I4*$B$11</f>
        <v>#REF!</v>
      </c>
      <c r="O18" s="40"/>
      <c r="P18" s="26" t="e">
        <f>(1/N19)</f>
        <v>#REF!</v>
      </c>
    </row>
    <row r="19" spans="1:16" ht="15.75" thickBot="1" x14ac:dyDescent="0.3">
      <c r="A19" s="81" t="s">
        <v>19</v>
      </c>
      <c r="B19" s="82">
        <v>4.6900000000000004</v>
      </c>
      <c r="D19" s="206" t="s">
        <v>38</v>
      </c>
      <c r="E19" s="17">
        <f>$B$2*$B$3*$F$5</f>
        <v>1.5013683010262255E-7</v>
      </c>
      <c r="F19" s="17">
        <f>$B$2*$B$3*$F$5</f>
        <v>1.5013683010262255E-7</v>
      </c>
      <c r="G19" s="17">
        <f>$B$2*$B$3*$F$5</f>
        <v>1.5013683010262255E-7</v>
      </c>
      <c r="H19" s="18">
        <f>1</f>
        <v>1</v>
      </c>
      <c r="J19" s="211" t="s">
        <v>35</v>
      </c>
      <c r="K19" s="33" t="e">
        <f>K17/K18</f>
        <v>#REF!</v>
      </c>
      <c r="L19" s="41"/>
      <c r="M19" s="35" t="e">
        <f t="shared" ref="M19:N19" si="7">M17/M18</f>
        <v>#REF!</v>
      </c>
      <c r="N19" s="33" t="e">
        <f t="shared" si="7"/>
        <v>#REF!</v>
      </c>
      <c r="O19" s="41"/>
      <c r="P19" s="30" t="e">
        <f t="shared" ref="P19" si="8">P17/P18</f>
        <v>#REF!</v>
      </c>
    </row>
    <row r="20" spans="1:16" x14ac:dyDescent="0.25">
      <c r="A20" s="81" t="s">
        <v>20</v>
      </c>
      <c r="B20" s="82">
        <v>11.32</v>
      </c>
      <c r="D20" s="207"/>
      <c r="E20" s="25">
        <f>$G5*H$5*$B$4*(1/1000)</f>
        <v>1.803614109981449E-8</v>
      </c>
      <c r="F20" s="25" t="e">
        <f>G5*I5*$B$11*(1/$B$16)*1000</f>
        <v>#REF!</v>
      </c>
      <c r="G20" s="25">
        <f>$G5*J$5*$B$26*(1/365)*$B$27*$B$28*(1/24)*L5*M5</f>
        <v>1.1236295093451021E-11</v>
      </c>
      <c r="H20" s="26" t="e">
        <f>(1/E21)+(1/F21)+(1/G21)</f>
        <v>#REF!</v>
      </c>
      <c r="J20" s="209" t="s">
        <v>38</v>
      </c>
      <c r="K20" s="17">
        <f>$B$2*$B$3*$F$5</f>
        <v>1.5013683010262255E-7</v>
      </c>
      <c r="L20" s="17">
        <f>$B$2*$B$3*$F$5</f>
        <v>1.5013683010262255E-7</v>
      </c>
      <c r="M20" s="27">
        <f>1</f>
        <v>1</v>
      </c>
      <c r="N20" s="28">
        <f>$B$2</f>
        <v>9.9999999999999995E-7</v>
      </c>
      <c r="O20" s="28">
        <f>$B$2</f>
        <v>9.9999999999999995E-7</v>
      </c>
      <c r="P20" s="18">
        <f>1</f>
        <v>1</v>
      </c>
    </row>
    <row r="21" spans="1:16" ht="15.75" thickBot="1" x14ac:dyDescent="0.3">
      <c r="A21" s="81" t="s">
        <v>21</v>
      </c>
      <c r="B21" s="82">
        <v>0.19400000000000001</v>
      </c>
      <c r="D21" s="208"/>
      <c r="E21" s="29">
        <f>E19/E20</f>
        <v>8.3242213105200626</v>
      </c>
      <c r="F21" s="29" t="e">
        <f t="shared" ref="F21:H21" si="9">F19/F20</f>
        <v>#REF!</v>
      </c>
      <c r="G21" s="29">
        <f t="shared" si="9"/>
        <v>13361.773507544183</v>
      </c>
      <c r="H21" s="30" t="e">
        <f t="shared" si="9"/>
        <v>#REF!</v>
      </c>
      <c r="J21" s="210" t="s">
        <v>37</v>
      </c>
      <c r="K21" s="31" t="e">
        <f>$G5*$I5*$B$11</f>
        <v>#REF!</v>
      </c>
      <c r="L21" s="31">
        <f>$G5*$K5*$B$26*(1/365)*$B$27*$B$28*(1/24)*$L5</f>
        <v>2.3222232892461832E-13</v>
      </c>
      <c r="M21" s="32" t="e">
        <f>(1/K22)+(1/L22)</f>
        <v>#REF!</v>
      </c>
      <c r="N21" s="31" t="e">
        <f>$I5*$B$11</f>
        <v>#REF!</v>
      </c>
      <c r="O21" s="31">
        <f>$K5*$B$26*(1/365)*$B$27*$B$28*(1/24)*$L5</f>
        <v>1.6657534246575345E-12</v>
      </c>
      <c r="P21" s="26" t="e">
        <f>(1/N22)+(1/O22)</f>
        <v>#REF!</v>
      </c>
    </row>
    <row r="22" spans="1:16" ht="15.75" thickBot="1" x14ac:dyDescent="0.3">
      <c r="A22" s="81" t="s">
        <v>22</v>
      </c>
      <c r="B22" s="82">
        <v>16.2302</v>
      </c>
      <c r="D22" s="42"/>
      <c r="E22" s="43"/>
      <c r="F22" s="14" t="s">
        <v>47</v>
      </c>
      <c r="G22" s="14" t="s">
        <v>48</v>
      </c>
      <c r="H22" s="44" t="s">
        <v>49</v>
      </c>
      <c r="J22" s="211" t="s">
        <v>38</v>
      </c>
      <c r="K22" s="33" t="e">
        <f>K20/K21</f>
        <v>#REF!</v>
      </c>
      <c r="L22" s="34">
        <f t="shared" ref="L22:P22" si="10">L20/L21</f>
        <v>646521.93782518851</v>
      </c>
      <c r="M22" s="35" t="e">
        <f t="shared" si="10"/>
        <v>#REF!</v>
      </c>
      <c r="N22" s="33" t="e">
        <f t="shared" si="10"/>
        <v>#REF!</v>
      </c>
      <c r="O22" s="34">
        <f t="shared" si="10"/>
        <v>600328.94736842089</v>
      </c>
      <c r="P22" s="30" t="e">
        <f t="shared" si="10"/>
        <v>#REF!</v>
      </c>
    </row>
    <row r="23" spans="1:16" ht="15.75" thickBot="1" x14ac:dyDescent="0.3">
      <c r="A23" s="81" t="s">
        <v>23</v>
      </c>
      <c r="B23" s="82">
        <v>0.5</v>
      </c>
      <c r="D23" s="203" t="s">
        <v>35</v>
      </c>
      <c r="E23" s="45" t="s">
        <v>41</v>
      </c>
      <c r="F23" s="46">
        <v>9.6</v>
      </c>
      <c r="G23" s="46">
        <v>9.58</v>
      </c>
      <c r="H23" s="47">
        <f>(F23-G23)/((1/2)*(F23+G23))</f>
        <v>2.085505735140727E-3</v>
      </c>
      <c r="J23" s="48"/>
      <c r="K23" s="49"/>
      <c r="L23" s="43"/>
      <c r="M23" s="50" t="s">
        <v>47</v>
      </c>
      <c r="N23" s="50" t="s">
        <v>48</v>
      </c>
      <c r="O23" s="51" t="s">
        <v>49</v>
      </c>
    </row>
    <row r="24" spans="1:16" x14ac:dyDescent="0.25">
      <c r="A24" s="81" t="s">
        <v>24</v>
      </c>
      <c r="B24" s="82">
        <v>18.776199999999999</v>
      </c>
      <c r="D24" s="204"/>
      <c r="E24" s="52" t="s">
        <v>42</v>
      </c>
      <c r="F24" s="7">
        <v>861</v>
      </c>
      <c r="G24" s="7">
        <v>860</v>
      </c>
      <c r="H24" s="53">
        <f t="shared" ref="H24:H26" si="11">(F24-G24)/((1/2)*(F24+G24))</f>
        <v>1.1621150493898896E-3</v>
      </c>
      <c r="J24" s="54"/>
      <c r="K24" s="212" t="s">
        <v>35</v>
      </c>
      <c r="L24" s="55" t="s">
        <v>42</v>
      </c>
      <c r="M24" s="46">
        <v>6.3400000000000001E-4</v>
      </c>
      <c r="N24" s="46">
        <v>6.3299999999999999E-4</v>
      </c>
      <c r="O24" s="56">
        <f>(M24-N24)/((1/2)*(M24+N24))</f>
        <v>1.5785319652723354E-3</v>
      </c>
    </row>
    <row r="25" spans="1:16" x14ac:dyDescent="0.25">
      <c r="A25" s="81" t="s">
        <v>25</v>
      </c>
      <c r="B25" s="82">
        <v>216.108</v>
      </c>
      <c r="D25" s="204"/>
      <c r="E25" s="52" t="s">
        <v>43</v>
      </c>
      <c r="F25" s="7">
        <v>52.2</v>
      </c>
      <c r="G25" s="7">
        <v>52.4</v>
      </c>
      <c r="H25" s="53">
        <f t="shared" si="11"/>
        <v>-3.8240917782025956E-3</v>
      </c>
      <c r="J25" s="54"/>
      <c r="K25" s="213"/>
      <c r="L25" s="57" t="s">
        <v>43</v>
      </c>
      <c r="M25" s="7">
        <v>2690</v>
      </c>
      <c r="N25" s="7">
        <v>2690</v>
      </c>
      <c r="O25" s="58">
        <f t="shared" ref="O25:O47" si="12">(M25-N25)/((1/2)*(M25+N25))</f>
        <v>0</v>
      </c>
    </row>
    <row r="26" spans="1:16" ht="15.75" thickBot="1" x14ac:dyDescent="0.3">
      <c r="A26" s="81" t="s">
        <v>50</v>
      </c>
      <c r="B26" s="2">
        <f>(B9+B6)</f>
        <v>19</v>
      </c>
      <c r="D26" s="205"/>
      <c r="E26" s="59" t="s">
        <v>44</v>
      </c>
      <c r="F26" s="10">
        <v>8.0299999999999994</v>
      </c>
      <c r="G26" s="10">
        <v>8.02</v>
      </c>
      <c r="H26" s="60">
        <f t="shared" si="11"/>
        <v>1.2461059190030889E-3</v>
      </c>
      <c r="K26" s="214"/>
      <c r="L26" s="61" t="s">
        <v>44</v>
      </c>
      <c r="M26" s="62">
        <v>6.3400000000000001E-4</v>
      </c>
      <c r="N26" s="62">
        <v>6.3299999999999999E-4</v>
      </c>
      <c r="O26" s="63">
        <f t="shared" si="12"/>
        <v>1.5785319652723354E-3</v>
      </c>
    </row>
    <row r="27" spans="1:16" x14ac:dyDescent="0.25">
      <c r="A27" s="87" t="s">
        <v>51</v>
      </c>
      <c r="B27" s="2">
        <f>(B8+B5)/2</f>
        <v>250</v>
      </c>
      <c r="D27" s="203" t="s">
        <v>36</v>
      </c>
      <c r="E27" s="45" t="s">
        <v>41</v>
      </c>
      <c r="F27" s="46">
        <v>124</v>
      </c>
      <c r="G27" s="46">
        <v>124</v>
      </c>
      <c r="H27" s="47">
        <f>(F27-G27)/((1/2)*(F27+G27))</f>
        <v>0</v>
      </c>
      <c r="K27" s="214"/>
      <c r="L27" s="64" t="s">
        <v>42</v>
      </c>
      <c r="M27" s="65">
        <v>6.2399999999999999E-4</v>
      </c>
      <c r="N27" s="65">
        <v>6.2299999999999996E-4</v>
      </c>
      <c r="O27" s="66">
        <f t="shared" si="12"/>
        <v>1.6038492381716511E-3</v>
      </c>
    </row>
    <row r="28" spans="1:16" ht="15.75" thickBot="1" x14ac:dyDescent="0.3">
      <c r="A28" s="88" t="s">
        <v>52</v>
      </c>
      <c r="B28" s="3">
        <f>(B12+B14)/2</f>
        <v>12</v>
      </c>
      <c r="D28" s="204"/>
      <c r="E28" s="52" t="s">
        <v>42</v>
      </c>
      <c r="F28" s="7">
        <v>862000</v>
      </c>
      <c r="G28" s="7">
        <v>865000</v>
      </c>
      <c r="H28" s="53">
        <f t="shared" ref="H28:H30" si="13">(F28-G28)/((1/2)*(F28+G28))</f>
        <v>-3.4742327735958309E-3</v>
      </c>
      <c r="K28" s="214"/>
      <c r="L28" s="67" t="s">
        <v>43</v>
      </c>
      <c r="M28" s="7">
        <v>2650</v>
      </c>
      <c r="N28" s="7">
        <v>2650</v>
      </c>
      <c r="O28" s="58">
        <f t="shared" si="12"/>
        <v>0</v>
      </c>
    </row>
    <row r="29" spans="1:16" ht="15.75" thickBot="1" x14ac:dyDescent="0.3">
      <c r="D29" s="204"/>
      <c r="E29" s="52" t="s">
        <v>43</v>
      </c>
      <c r="F29" s="7">
        <v>0.34300000000000003</v>
      </c>
      <c r="G29" s="7">
        <v>0.34399999999999997</v>
      </c>
      <c r="H29" s="53">
        <f t="shared" si="13"/>
        <v>-2.9112081513826644E-3</v>
      </c>
      <c r="K29" s="215"/>
      <c r="L29" s="68" t="s">
        <v>44</v>
      </c>
      <c r="M29" s="10">
        <v>6.2399999999999999E-4</v>
      </c>
      <c r="N29" s="10">
        <v>6.2299999999999996E-4</v>
      </c>
      <c r="O29" s="69">
        <f t="shared" si="12"/>
        <v>1.6038492381716511E-3</v>
      </c>
    </row>
    <row r="30" spans="1:16" ht="15.75" thickBot="1" x14ac:dyDescent="0.3">
      <c r="D30" s="205"/>
      <c r="E30" s="59" t="s">
        <v>44</v>
      </c>
      <c r="F30" s="10">
        <v>0.34200000000000003</v>
      </c>
      <c r="G30" s="10">
        <v>0.34300000000000003</v>
      </c>
      <c r="H30" s="60">
        <f t="shared" si="13"/>
        <v>-2.9197080291970827E-3</v>
      </c>
      <c r="K30" s="203" t="s">
        <v>36</v>
      </c>
      <c r="L30" s="55" t="s">
        <v>42</v>
      </c>
      <c r="M30" s="46">
        <v>0.63400000000000001</v>
      </c>
      <c r="N30" s="46">
        <v>0.63600000000000001</v>
      </c>
      <c r="O30" s="56">
        <f t="shared" si="12"/>
        <v>-3.149606299212601E-3</v>
      </c>
    </row>
    <row r="31" spans="1:16" x14ac:dyDescent="0.25">
      <c r="D31" s="203" t="s">
        <v>37</v>
      </c>
      <c r="E31" s="45" t="s">
        <v>41</v>
      </c>
      <c r="F31" s="70"/>
      <c r="G31" s="70"/>
      <c r="H31" s="71"/>
      <c r="K31" s="204"/>
      <c r="L31" s="57" t="s">
        <v>43</v>
      </c>
      <c r="M31" s="7">
        <v>37</v>
      </c>
      <c r="N31" s="7">
        <v>37.200000000000003</v>
      </c>
      <c r="O31" s="58">
        <f t="shared" si="12"/>
        <v>-5.3908355795149014E-3</v>
      </c>
    </row>
    <row r="32" spans="1:16" ht="15.75" thickBot="1" x14ac:dyDescent="0.3">
      <c r="D32" s="204"/>
      <c r="E32" s="52" t="s">
        <v>42</v>
      </c>
      <c r="F32" s="7">
        <v>0.76900000000000002</v>
      </c>
      <c r="G32" s="7">
        <v>0.76800000000000002</v>
      </c>
      <c r="H32" s="53">
        <f t="shared" ref="H32:H34" si="14">(F32-G32)/((1/2)*(F32+G32))</f>
        <v>1.3012361743656485E-3</v>
      </c>
      <c r="K32" s="204"/>
      <c r="L32" s="61" t="s">
        <v>44</v>
      </c>
      <c r="M32" s="62">
        <v>0.624</v>
      </c>
      <c r="N32" s="62">
        <v>0.626</v>
      </c>
      <c r="O32" s="63">
        <f t="shared" si="12"/>
        <v>-3.2000000000000028E-3</v>
      </c>
    </row>
    <row r="33" spans="4:15" x14ac:dyDescent="0.25">
      <c r="D33" s="204"/>
      <c r="E33" s="52" t="s">
        <v>43</v>
      </c>
      <c r="F33" s="72"/>
      <c r="G33" s="72"/>
      <c r="H33" s="73"/>
      <c r="K33" s="204"/>
      <c r="L33" s="64" t="s">
        <v>42</v>
      </c>
      <c r="M33" s="65">
        <v>0.23300000000000001</v>
      </c>
      <c r="N33" s="65">
        <v>0.23400000000000001</v>
      </c>
      <c r="O33" s="66">
        <f t="shared" si="12"/>
        <v>-4.2826552462526804E-3</v>
      </c>
    </row>
    <row r="34" spans="4:15" ht="15.75" thickBot="1" x14ac:dyDescent="0.3">
      <c r="D34" s="205"/>
      <c r="E34" s="59" t="s">
        <v>44</v>
      </c>
      <c r="F34" s="10">
        <v>0.76900000000000002</v>
      </c>
      <c r="G34" s="10">
        <v>0.76800000000000002</v>
      </c>
      <c r="H34" s="60">
        <f t="shared" si="14"/>
        <v>1.3012361743656485E-3</v>
      </c>
      <c r="K34" s="204"/>
      <c r="L34" s="67" t="s">
        <v>43</v>
      </c>
      <c r="M34" s="7">
        <v>13.6</v>
      </c>
      <c r="N34" s="7">
        <v>13.7</v>
      </c>
      <c r="O34" s="58">
        <f t="shared" si="12"/>
        <v>-7.3260073260073008E-3</v>
      </c>
    </row>
    <row r="35" spans="4:15" ht="15.75" thickBot="1" x14ac:dyDescent="0.3">
      <c r="D35" s="203" t="s">
        <v>38</v>
      </c>
      <c r="E35" s="45" t="s">
        <v>41</v>
      </c>
      <c r="F35" s="46">
        <v>8.32</v>
      </c>
      <c r="G35" s="46">
        <v>8.34</v>
      </c>
      <c r="H35" s="47">
        <f>(F35-G35)/((1/2)*(F35+G35))</f>
        <v>-2.4009603841536101E-3</v>
      </c>
      <c r="K35" s="205"/>
      <c r="L35" s="68" t="s">
        <v>44</v>
      </c>
      <c r="M35" s="10">
        <v>0.22900000000000001</v>
      </c>
      <c r="N35" s="10">
        <v>0.23</v>
      </c>
      <c r="O35" s="69">
        <f t="shared" si="12"/>
        <v>-4.3572984749455377E-3</v>
      </c>
    </row>
    <row r="36" spans="4:15" x14ac:dyDescent="0.25">
      <c r="D36" s="204"/>
      <c r="E36" s="52" t="s">
        <v>42</v>
      </c>
      <c r="F36" s="7">
        <v>660</v>
      </c>
      <c r="G36" s="7">
        <v>660</v>
      </c>
      <c r="H36" s="53">
        <f t="shared" ref="H36:H38" si="15">(F36-G36)/((1/2)*(F36+G36))</f>
        <v>0</v>
      </c>
      <c r="K36" s="203" t="s">
        <v>37</v>
      </c>
      <c r="L36" s="55" t="s">
        <v>42</v>
      </c>
      <c r="M36" s="46">
        <v>45.3</v>
      </c>
      <c r="N36" s="46">
        <v>45.2</v>
      </c>
      <c r="O36" s="56">
        <f t="shared" si="12"/>
        <v>2.2099447513810899E-3</v>
      </c>
    </row>
    <row r="37" spans="4:15" x14ac:dyDescent="0.25">
      <c r="D37" s="204"/>
      <c r="E37" s="52" t="s">
        <v>43</v>
      </c>
      <c r="F37" s="7">
        <v>13400</v>
      </c>
      <c r="G37" s="7">
        <v>13400</v>
      </c>
      <c r="H37" s="53">
        <f t="shared" si="15"/>
        <v>0</v>
      </c>
      <c r="K37" s="204"/>
      <c r="L37" s="57" t="s">
        <v>43</v>
      </c>
      <c r="M37" s="74"/>
      <c r="N37" s="74"/>
      <c r="O37" s="75"/>
    </row>
    <row r="38" spans="4:15" ht="15.75" thickBot="1" x14ac:dyDescent="0.3">
      <c r="D38" s="205"/>
      <c r="E38" s="59" t="s">
        <v>44</v>
      </c>
      <c r="F38" s="10">
        <v>8.2200000000000006</v>
      </c>
      <c r="G38" s="10">
        <v>8.23</v>
      </c>
      <c r="H38" s="60">
        <f t="shared" si="15"/>
        <v>-1.2158054711245939E-3</v>
      </c>
      <c r="K38" s="204"/>
      <c r="L38" s="61" t="s">
        <v>44</v>
      </c>
      <c r="M38" s="62">
        <v>45.3</v>
      </c>
      <c r="N38" s="62">
        <v>45.2</v>
      </c>
      <c r="O38" s="63">
        <f t="shared" si="12"/>
        <v>2.2099447513810899E-3</v>
      </c>
    </row>
    <row r="39" spans="4:15" x14ac:dyDescent="0.25">
      <c r="K39" s="204"/>
      <c r="L39" s="64" t="s">
        <v>42</v>
      </c>
      <c r="M39" s="65">
        <v>27.8</v>
      </c>
      <c r="N39" s="65">
        <v>27.8</v>
      </c>
      <c r="O39" s="66">
        <f t="shared" si="12"/>
        <v>0</v>
      </c>
    </row>
    <row r="40" spans="4:15" x14ac:dyDescent="0.25">
      <c r="K40" s="204"/>
      <c r="L40" s="67" t="s">
        <v>43</v>
      </c>
      <c r="M40" s="74"/>
      <c r="N40" s="74"/>
      <c r="O40" s="75"/>
    </row>
    <row r="41" spans="4:15" ht="15.75" thickBot="1" x14ac:dyDescent="0.3">
      <c r="K41" s="205"/>
      <c r="L41" s="68" t="s">
        <v>44</v>
      </c>
      <c r="M41" s="10">
        <v>27.8</v>
      </c>
      <c r="N41" s="10">
        <v>27.8</v>
      </c>
      <c r="O41" s="69">
        <f t="shared" si="12"/>
        <v>0</v>
      </c>
    </row>
    <row r="42" spans="4:15" x14ac:dyDescent="0.25">
      <c r="K42" s="203" t="s">
        <v>38</v>
      </c>
      <c r="L42" s="55" t="s">
        <v>42</v>
      </c>
      <c r="M42" s="46">
        <v>4.8500000000000003E-4</v>
      </c>
      <c r="N42" s="46">
        <v>4.86E-4</v>
      </c>
      <c r="O42" s="56">
        <f t="shared" si="12"/>
        <v>-2.0597322348094131E-3</v>
      </c>
    </row>
    <row r="43" spans="4:15" x14ac:dyDescent="0.25">
      <c r="K43" s="204"/>
      <c r="L43" s="57" t="s">
        <v>43</v>
      </c>
      <c r="M43" s="7">
        <v>647000</v>
      </c>
      <c r="N43" s="7">
        <v>647000</v>
      </c>
      <c r="O43" s="58">
        <f t="shared" si="12"/>
        <v>0</v>
      </c>
    </row>
    <row r="44" spans="4:15" ht="15.75" thickBot="1" x14ac:dyDescent="0.3">
      <c r="K44" s="204"/>
      <c r="L44" s="61" t="s">
        <v>44</v>
      </c>
      <c r="M44" s="62">
        <v>4.8500000000000003E-4</v>
      </c>
      <c r="N44" s="62">
        <v>4.86E-4</v>
      </c>
      <c r="O44" s="63">
        <f t="shared" si="12"/>
        <v>-2.0597322348094131E-3</v>
      </c>
    </row>
    <row r="45" spans="4:15" x14ac:dyDescent="0.25">
      <c r="K45" s="204"/>
      <c r="L45" s="64" t="s">
        <v>42</v>
      </c>
      <c r="M45" s="65">
        <v>4.5100000000000001E-4</v>
      </c>
      <c r="N45" s="65">
        <v>4.5100000000000001E-4</v>
      </c>
      <c r="O45" s="66">
        <f t="shared" si="12"/>
        <v>0</v>
      </c>
    </row>
    <row r="46" spans="4:15" x14ac:dyDescent="0.25">
      <c r="K46" s="204"/>
      <c r="L46" s="67" t="s">
        <v>43</v>
      </c>
      <c r="M46" s="7">
        <v>600000</v>
      </c>
      <c r="N46" s="7">
        <v>601000</v>
      </c>
      <c r="O46" s="58">
        <f t="shared" si="12"/>
        <v>-1.6652789342214821E-3</v>
      </c>
    </row>
    <row r="47" spans="4:15" ht="15.75" thickBot="1" x14ac:dyDescent="0.3">
      <c r="K47" s="205"/>
      <c r="L47" s="68" t="s">
        <v>44</v>
      </c>
      <c r="M47" s="10">
        <v>4.5100000000000001E-4</v>
      </c>
      <c r="N47" s="10">
        <v>4.5100000000000001E-4</v>
      </c>
      <c r="O47" s="69">
        <f t="shared" si="12"/>
        <v>0</v>
      </c>
    </row>
  </sheetData>
  <mergeCells count="20">
    <mergeCell ref="D8:H8"/>
    <mergeCell ref="J8:P8"/>
    <mergeCell ref="K9:M9"/>
    <mergeCell ref="N9:P9"/>
    <mergeCell ref="D10:D12"/>
    <mergeCell ref="J11:J13"/>
    <mergeCell ref="D13:D15"/>
    <mergeCell ref="J14:J16"/>
    <mergeCell ref="D16:D18"/>
    <mergeCell ref="J17:J19"/>
    <mergeCell ref="K42:K47"/>
    <mergeCell ref="D19:D21"/>
    <mergeCell ref="J20:J22"/>
    <mergeCell ref="D23:D26"/>
    <mergeCell ref="K24:K29"/>
    <mergeCell ref="D27:D30"/>
    <mergeCell ref="K30:K35"/>
    <mergeCell ref="D31:D34"/>
    <mergeCell ref="D35:D38"/>
    <mergeCell ref="K36:K41"/>
  </mergeCells>
  <conditionalFormatting sqref="H23:H38">
    <cfRule type="cellIs" dxfId="15" priority="3" operator="lessThan">
      <formula>-0.01</formula>
    </cfRule>
    <cfRule type="cellIs" dxfId="14" priority="4" operator="notEqual">
      <formula>0</formula>
    </cfRule>
  </conditionalFormatting>
  <conditionalFormatting sqref="O24:O47">
    <cfRule type="cellIs" dxfId="13" priority="1" operator="lessThan">
      <formula>-0.01</formula>
    </cfRule>
    <cfRule type="cellIs" dxfId="12" priority="2" operator="notEqual">
      <formula>0</formula>
    </cfRule>
  </conditionalFormatting>
  <pageMargins left="0.7" right="0.7" top="0.75" bottom="0.75" header="0.3" footer="0.3"/>
  <pageSetup scale="5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55" zoomScaleNormal="55" workbookViewId="0">
      <selection activeCell="W18" sqref="W18"/>
    </sheetView>
  </sheetViews>
  <sheetFormatPr defaultRowHeight="15" x14ac:dyDescent="0.25"/>
  <cols>
    <col min="4" max="4" width="11.42578125" bestFit="1" customWidth="1"/>
    <col min="5" max="5" width="10.28515625" bestFit="1" customWidth="1"/>
    <col min="6" max="6" width="11.42578125" bestFit="1" customWidth="1"/>
    <col min="7" max="7" width="11.140625" bestFit="1" customWidth="1"/>
    <col min="9" max="9" width="10.140625" customWidth="1"/>
    <col min="10" max="10" width="10.28515625" bestFit="1" customWidth="1"/>
    <col min="12" max="12" width="11.140625" bestFit="1" customWidth="1"/>
  </cols>
  <sheetData>
    <row r="1" spans="1:12" x14ac:dyDescent="0.25">
      <c r="A1" s="79" t="s">
        <v>53</v>
      </c>
      <c r="B1" s="80" t="s">
        <v>1</v>
      </c>
      <c r="C1" s="76"/>
      <c r="D1" s="199" t="s">
        <v>113</v>
      </c>
      <c r="E1" s="4" t="s">
        <v>26</v>
      </c>
      <c r="F1" s="4" t="s">
        <v>27</v>
      </c>
      <c r="G1" s="4" t="s">
        <v>28</v>
      </c>
      <c r="H1" s="4" t="s">
        <v>70</v>
      </c>
      <c r="I1" s="4" t="s">
        <v>71</v>
      </c>
      <c r="J1" s="4" t="s">
        <v>72</v>
      </c>
      <c r="K1" s="5" t="s">
        <v>69</v>
      </c>
    </row>
    <row r="2" spans="1:12" x14ac:dyDescent="0.25">
      <c r="A2" s="81" t="s">
        <v>2</v>
      </c>
      <c r="B2" s="26">
        <v>9.9999999999999995E-7</v>
      </c>
      <c r="C2" s="77" t="s">
        <v>35</v>
      </c>
      <c r="D2" s="77" t="s">
        <v>119</v>
      </c>
      <c r="E2" s="7">
        <v>432</v>
      </c>
      <c r="F2" s="7">
        <f>0.693/E2</f>
        <v>1.6041666666666665E-3</v>
      </c>
      <c r="G2" s="7">
        <f>(1-EXP(-(F2)*$B$3))</f>
        <v>3.0019360213291768E-2</v>
      </c>
      <c r="H2" s="7">
        <f>'Isotope Specific Factors'!D11</f>
        <v>1.34E-10</v>
      </c>
      <c r="I2" s="7">
        <v>6.0000000000000001E-3</v>
      </c>
      <c r="J2" s="7">
        <v>5.0000000000000001E-4</v>
      </c>
      <c r="K2" s="8">
        <v>2.1999999999999999E-5</v>
      </c>
    </row>
    <row r="3" spans="1:12" x14ac:dyDescent="0.25">
      <c r="A3" s="81" t="s">
        <v>3</v>
      </c>
      <c r="B3" s="82">
        <v>19</v>
      </c>
      <c r="C3" s="77" t="s">
        <v>36</v>
      </c>
      <c r="D3" s="77" t="s">
        <v>119</v>
      </c>
      <c r="E3" s="7">
        <v>5.27</v>
      </c>
      <c r="F3" s="7">
        <f t="shared" ref="F3:F5" si="0">0.693/E3</f>
        <v>0.13149905123339659</v>
      </c>
      <c r="G3" s="7">
        <f t="shared" ref="G3:G5" si="1">(1-EXP(-(F3)*$B$3))</f>
        <v>0.91779029954116187</v>
      </c>
      <c r="H3" s="7">
        <f>'Isotope Specific Factors'!D12</f>
        <v>2.23E-11</v>
      </c>
      <c r="I3" s="7">
        <v>0.97</v>
      </c>
      <c r="J3" s="7">
        <v>4.2999999999999999E-4</v>
      </c>
      <c r="K3" s="8">
        <v>8.5000000000000006E-3</v>
      </c>
    </row>
    <row r="4" spans="1:12" x14ac:dyDescent="0.25">
      <c r="A4" s="81" t="s">
        <v>50</v>
      </c>
      <c r="B4" s="82">
        <v>250</v>
      </c>
      <c r="C4" s="77" t="s">
        <v>37</v>
      </c>
      <c r="D4" s="77" t="s">
        <v>119</v>
      </c>
      <c r="E4" s="7">
        <v>12.3</v>
      </c>
      <c r="F4" s="7">
        <f t="shared" si="0"/>
        <v>5.6341463414634141E-2</v>
      </c>
      <c r="G4" s="7">
        <f t="shared" si="1"/>
        <v>0.65715876300588172</v>
      </c>
      <c r="H4" s="7">
        <f>'Isotope Specific Factors'!D14</f>
        <v>1.4399999999999999E-13</v>
      </c>
      <c r="I4" s="89" t="s">
        <v>73</v>
      </c>
      <c r="J4" s="7">
        <v>1.2E-2</v>
      </c>
      <c r="K4" s="8">
        <v>24</v>
      </c>
    </row>
    <row r="5" spans="1:12" ht="15.75" thickBot="1" x14ac:dyDescent="0.3">
      <c r="A5" s="81" t="s">
        <v>51</v>
      </c>
      <c r="B5" s="82">
        <v>19</v>
      </c>
      <c r="C5" s="78" t="s">
        <v>38</v>
      </c>
      <c r="D5" s="78" t="s">
        <v>119</v>
      </c>
      <c r="E5" s="10">
        <v>87.7</v>
      </c>
      <c r="F5" s="10">
        <f t="shared" si="0"/>
        <v>7.9019384264538192E-3</v>
      </c>
      <c r="G5" s="10">
        <f t="shared" si="1"/>
        <v>0.13940978627875933</v>
      </c>
      <c r="H5" s="10">
        <f>'Isotope Specific Factors'!D15</f>
        <v>1.6900000000000001E-10</v>
      </c>
      <c r="I5" s="10">
        <v>3.0000000000000001E-3</v>
      </c>
      <c r="J5" s="10">
        <v>1.1000000000000001E-6</v>
      </c>
      <c r="K5" s="11">
        <v>9.5000000000000005E-6</v>
      </c>
    </row>
    <row r="6" spans="1:12" x14ac:dyDescent="0.25">
      <c r="A6" s="81" t="s">
        <v>63</v>
      </c>
      <c r="B6" s="82">
        <v>60</v>
      </c>
    </row>
    <row r="7" spans="1:12" ht="15.75" thickBot="1" x14ac:dyDescent="0.3">
      <c r="A7" s="81" t="s">
        <v>55</v>
      </c>
      <c r="B7" s="82">
        <v>0.4</v>
      </c>
      <c r="C7" s="237" t="s">
        <v>77</v>
      </c>
      <c r="D7" s="238"/>
    </row>
    <row r="8" spans="1:12" x14ac:dyDescent="0.25">
      <c r="A8" s="81" t="s">
        <v>56</v>
      </c>
      <c r="B8" s="82">
        <v>3</v>
      </c>
      <c r="D8" s="91"/>
      <c r="E8" s="228" t="s">
        <v>78</v>
      </c>
      <c r="F8" s="217"/>
      <c r="G8" s="218"/>
      <c r="I8" s="91"/>
      <c r="J8" s="234" t="s">
        <v>79</v>
      </c>
      <c r="K8" s="235"/>
      <c r="L8" s="236"/>
    </row>
    <row r="9" spans="1:12" ht="15.75" thickBot="1" x14ac:dyDescent="0.3">
      <c r="A9" s="81" t="s">
        <v>57</v>
      </c>
      <c r="B9" s="82">
        <v>2</v>
      </c>
      <c r="D9" s="42"/>
      <c r="E9" s="14" t="s">
        <v>74</v>
      </c>
      <c r="F9" s="14" t="s">
        <v>75</v>
      </c>
      <c r="G9" s="15" t="s">
        <v>76</v>
      </c>
      <c r="I9" s="42"/>
      <c r="J9" s="101" t="s">
        <v>74</v>
      </c>
      <c r="K9" s="101" t="s">
        <v>75</v>
      </c>
      <c r="L9" s="102" t="s">
        <v>76</v>
      </c>
    </row>
    <row r="10" spans="1:12" x14ac:dyDescent="0.25">
      <c r="A10" s="81" t="s">
        <v>58</v>
      </c>
      <c r="B10" s="82" t="s">
        <v>69</v>
      </c>
      <c r="D10" s="229" t="s">
        <v>35</v>
      </c>
      <c r="E10" s="46">
        <f>$B$2</f>
        <v>9.9999999999999995E-7</v>
      </c>
      <c r="F10" s="46">
        <f>E12</f>
        <v>3.9277297721916724E-2</v>
      </c>
      <c r="G10" s="110">
        <f>E12</f>
        <v>3.9277297721916724E-2</v>
      </c>
      <c r="I10" s="229" t="s">
        <v>35</v>
      </c>
      <c r="J10" s="46">
        <f>$B$2</f>
        <v>9.9999999999999995E-7</v>
      </c>
      <c r="K10" s="46">
        <f>J12</f>
        <v>2.6184865147944485E-2</v>
      </c>
      <c r="L10" s="110">
        <f>J12</f>
        <v>2.6184865147944485E-2</v>
      </c>
    </row>
    <row r="11" spans="1:12" x14ac:dyDescent="0.25">
      <c r="A11" s="81" t="s">
        <v>59</v>
      </c>
      <c r="B11" s="82" t="s">
        <v>61</v>
      </c>
      <c r="D11" s="230"/>
      <c r="E11" s="7">
        <f>H2*$B$4*$B$5*$B$15</f>
        <v>2.5460000000000004E-5</v>
      </c>
      <c r="F11" s="7">
        <f>I2*(($B$7*$B$8*$B$9*($B$13+K2))+($B$12*$B$8))</f>
        <v>4.572316800000001E-3</v>
      </c>
      <c r="G11" s="8">
        <f>I2*$B$14*(1/1000)</f>
        <v>1.2E-5</v>
      </c>
      <c r="I11" s="230"/>
      <c r="J11" s="7">
        <f>H2*$B$4*$B$5*$B$6</f>
        <v>3.8190000000000005E-5</v>
      </c>
      <c r="K11" s="7">
        <f>J2*(($B$16*$B$17*$B$18*($B$13+K2))+($B$19*$B$17))</f>
        <v>5.6329785000000007E-2</v>
      </c>
      <c r="L11" s="8">
        <f>J2*$B$20*(1/1000)</f>
        <v>2.7500000000000001E-5</v>
      </c>
    </row>
    <row r="12" spans="1:12" ht="15.75" thickBot="1" x14ac:dyDescent="0.3">
      <c r="A12" s="81" t="s">
        <v>60</v>
      </c>
      <c r="B12" s="82">
        <v>5.3999999999999999E-2</v>
      </c>
      <c r="D12" s="231"/>
      <c r="E12" s="111">
        <f>E10/E11</f>
        <v>3.9277297721916724E-2</v>
      </c>
      <c r="F12" s="111">
        <f>(F10/F11)*(($B$3*F2)/G2)</f>
        <v>8.7218164710889656</v>
      </c>
      <c r="G12" s="112">
        <f t="shared" ref="G12" si="2">G10/G11</f>
        <v>3273.1081434930602</v>
      </c>
      <c r="I12" s="231"/>
      <c r="J12" s="111">
        <f>J10/J11</f>
        <v>2.6184865147944485E-2</v>
      </c>
      <c r="K12" s="111">
        <f>(K10/K11)*(($B$3*F2)/G2)</f>
        <v>0.47196946786709487</v>
      </c>
      <c r="L12" s="112">
        <f t="shared" ref="L12" si="3">L10/L11</f>
        <v>952.17691447070854</v>
      </c>
    </row>
    <row r="13" spans="1:12" x14ac:dyDescent="0.25">
      <c r="A13" s="81" t="s">
        <v>61</v>
      </c>
      <c r="B13" s="82">
        <v>0.25</v>
      </c>
      <c r="D13" s="229" t="s">
        <v>36</v>
      </c>
      <c r="E13" s="46">
        <f>$B$2</f>
        <v>9.9999999999999995E-7</v>
      </c>
      <c r="F13" s="46">
        <f>E15</f>
        <v>0.23601604909133819</v>
      </c>
      <c r="G13" s="110">
        <f>E15</f>
        <v>0.23601604909133819</v>
      </c>
      <c r="I13" s="229" t="s">
        <v>36</v>
      </c>
      <c r="J13" s="46">
        <f>$B$2</f>
        <v>9.9999999999999995E-7</v>
      </c>
      <c r="K13" s="46">
        <f>J15</f>
        <v>0.15734403272755879</v>
      </c>
      <c r="L13" s="110">
        <f>J15</f>
        <v>0.15734403272755879</v>
      </c>
    </row>
    <row r="14" spans="1:12" x14ac:dyDescent="0.25">
      <c r="A14" s="81" t="s">
        <v>62</v>
      </c>
      <c r="B14" s="82">
        <v>2</v>
      </c>
      <c r="D14" s="230"/>
      <c r="E14" s="7">
        <f>H3*$B$4*$B$5*$B$15</f>
        <v>4.2370000000000003E-6</v>
      </c>
      <c r="F14" s="7">
        <f>I3*(($B$7*$B$8*$B$9*($B$13+K3))+($B$12*$B$8))</f>
        <v>0.75892800000000005</v>
      </c>
      <c r="G14" s="8">
        <f>I3*$B$14*(1/1000)</f>
        <v>1.9399999999999999E-3</v>
      </c>
      <c r="I14" s="230"/>
      <c r="J14" s="7">
        <f>H3*$B$4*$B$5*$B$6</f>
        <v>6.3555000000000004E-6</v>
      </c>
      <c r="K14" s="7">
        <f>J3*(($B$16*$B$17*$B$18*($B$13+K3))+($B$19*$B$17))</f>
        <v>5.0029425000000002E-2</v>
      </c>
      <c r="L14" s="8">
        <f>J3*$B$20*(1/1000)</f>
        <v>2.3650000000000002E-5</v>
      </c>
    </row>
    <row r="15" spans="1:12" ht="15.75" thickBot="1" x14ac:dyDescent="0.3">
      <c r="A15" s="81" t="s">
        <v>54</v>
      </c>
      <c r="B15" s="82">
        <v>40</v>
      </c>
      <c r="D15" s="231"/>
      <c r="E15" s="111">
        <f>E13/E14</f>
        <v>0.23601604909133819</v>
      </c>
      <c r="F15" s="111">
        <f>(F13/F14)*(($B$3*F3)/G3)</f>
        <v>0.84659113626852833</v>
      </c>
      <c r="G15" s="112">
        <f t="shared" ref="G15" si="4">G13/G14</f>
        <v>121.6577572635764</v>
      </c>
      <c r="I15" s="231"/>
      <c r="J15" s="111">
        <f>J13/J14</f>
        <v>0.15734403272755879</v>
      </c>
      <c r="K15" s="111">
        <f>(K13/K14)*(($B$3*F3)/G3)</f>
        <v>8.5616510399097017</v>
      </c>
      <c r="L15" s="112">
        <f t="shared" ref="L15" si="5">L13/L14</f>
        <v>6653.0246396430766</v>
      </c>
    </row>
    <row r="16" spans="1:12" x14ac:dyDescent="0.25">
      <c r="A16" s="81" t="s">
        <v>64</v>
      </c>
      <c r="B16" s="82">
        <v>14.5</v>
      </c>
      <c r="D16" s="229" t="s">
        <v>37</v>
      </c>
      <c r="E16" s="46">
        <f>$B$2</f>
        <v>9.9999999999999995E-7</v>
      </c>
      <c r="F16" s="113"/>
      <c r="G16" s="114"/>
      <c r="I16" s="229" t="s">
        <v>37</v>
      </c>
      <c r="J16" s="46">
        <f>$B$2</f>
        <v>9.9999999999999995E-7</v>
      </c>
      <c r="K16" s="46">
        <f>J18</f>
        <v>24.366471734892784</v>
      </c>
      <c r="L16" s="110">
        <f>J18</f>
        <v>24.366471734892784</v>
      </c>
    </row>
    <row r="17" spans="1:12" x14ac:dyDescent="0.25">
      <c r="A17" s="81" t="s">
        <v>65</v>
      </c>
      <c r="B17" s="82">
        <v>5</v>
      </c>
      <c r="D17" s="230"/>
      <c r="E17" s="7">
        <f>H4*$B$4*$B$5*$B$15</f>
        <v>2.7360000000000001E-8</v>
      </c>
      <c r="F17" s="74"/>
      <c r="G17" s="115"/>
      <c r="I17" s="230"/>
      <c r="J17" s="7">
        <f>H4*$B$4*$B$5*$B$6</f>
        <v>4.1040000000000002E-8</v>
      </c>
      <c r="K17" s="7">
        <f>J4*(($B$16*$B$17*$B$18*($B$13+K4))+($B$19*$B$17))</f>
        <v>126.6318</v>
      </c>
      <c r="L17" s="8">
        <f>J4*$B$20*(1/1000)</f>
        <v>6.6E-4</v>
      </c>
    </row>
    <row r="18" spans="1:12" ht="15.75" thickBot="1" x14ac:dyDescent="0.3">
      <c r="A18" s="81" t="s">
        <v>66</v>
      </c>
      <c r="B18" s="82">
        <v>6</v>
      </c>
      <c r="D18" s="231"/>
      <c r="E18" s="111">
        <f>E16/E17</f>
        <v>36.549707602339176</v>
      </c>
      <c r="F18" s="116"/>
      <c r="G18" s="117"/>
      <c r="I18" s="231"/>
      <c r="J18" s="111">
        <f>J16/J17</f>
        <v>24.366471734892784</v>
      </c>
      <c r="K18" s="111">
        <f>(K16/K17)*(($B$3*F4)/G4)</f>
        <v>0.31344495808886841</v>
      </c>
      <c r="L18" s="112">
        <f t="shared" ref="L18" si="6">L16/L17</f>
        <v>36918.896568019372</v>
      </c>
    </row>
    <row r="19" spans="1:12" x14ac:dyDescent="0.25">
      <c r="A19" s="81" t="s">
        <v>67</v>
      </c>
      <c r="B19" s="82">
        <v>0.78</v>
      </c>
      <c r="D19" s="232" t="s">
        <v>38</v>
      </c>
      <c r="E19" s="46">
        <f>$B$2</f>
        <v>9.9999999999999995E-7</v>
      </c>
      <c r="F19" s="46">
        <f>E21</f>
        <v>3.1142946122703203E-2</v>
      </c>
      <c r="G19" s="110">
        <f>E21</f>
        <v>3.1142946122703203E-2</v>
      </c>
      <c r="I19" s="232" t="s">
        <v>38</v>
      </c>
      <c r="J19" s="46">
        <f>$B$2</f>
        <v>9.9999999999999995E-7</v>
      </c>
      <c r="K19" s="46">
        <f>J21</f>
        <v>2.0761964081802135E-2</v>
      </c>
      <c r="L19" s="110">
        <f>J21</f>
        <v>2.0761964081802135E-2</v>
      </c>
    </row>
    <row r="20" spans="1:12" ht="15.75" thickBot="1" x14ac:dyDescent="0.3">
      <c r="A20" s="84" t="s">
        <v>68</v>
      </c>
      <c r="B20" s="85">
        <v>55</v>
      </c>
      <c r="D20" s="230"/>
      <c r="E20" s="7">
        <f>H5*$B$4*$B$5*$B$15</f>
        <v>3.2110000000000003E-5</v>
      </c>
      <c r="F20" s="7">
        <f>I5*(($B$7*$B$8*$B$9*($B$13+K5))+($B$12*$B$8))</f>
        <v>2.2860684000000002E-3</v>
      </c>
      <c r="G20" s="8">
        <f>I5*$B$14*(1/1000)</f>
        <v>6.0000000000000002E-6</v>
      </c>
      <c r="I20" s="230"/>
      <c r="J20" s="7">
        <f>H5*$B$4*$B$5*$B$6</f>
        <v>4.8165000000000004E-5</v>
      </c>
      <c r="K20" s="7">
        <f>J5*(($B$16*$B$17*$B$18*($B$13+K5))+($B$19*$B$17))</f>
        <v>1.2391954575000002E-4</v>
      </c>
      <c r="L20" s="8">
        <f>J5*$B$20*(1/1000)</f>
        <v>6.0500000000000006E-8</v>
      </c>
    </row>
    <row r="21" spans="1:12" ht="15.75" thickBot="1" x14ac:dyDescent="0.3">
      <c r="D21" s="233"/>
      <c r="E21" s="111">
        <f>E19/E20</f>
        <v>3.1142946122703203E-2</v>
      </c>
      <c r="F21" s="111">
        <f>(F19/F20)*(($B$3*F5)/G5)</f>
        <v>14.67116004378569</v>
      </c>
      <c r="G21" s="112">
        <f t="shared" ref="G21" si="7">G19/G20</f>
        <v>5190.4910204505341</v>
      </c>
      <c r="I21" s="231"/>
      <c r="J21" s="111">
        <f>J19/J20</f>
        <v>2.0761964081802135E-2</v>
      </c>
      <c r="K21" s="111">
        <f>(K19/K20)*(($B$3*F5)/G5)</f>
        <v>180.43575592777208</v>
      </c>
      <c r="L21" s="112">
        <f t="shared" ref="L21" si="8">L19/L20</f>
        <v>343172.96002978733</v>
      </c>
    </row>
    <row r="22" spans="1:12" ht="15.75" thickBot="1" x14ac:dyDescent="0.3">
      <c r="C22" s="93"/>
      <c r="D22" s="94"/>
      <c r="E22" s="99" t="s">
        <v>47</v>
      </c>
      <c r="F22" s="99" t="s">
        <v>48</v>
      </c>
      <c r="G22" s="100" t="s">
        <v>49</v>
      </c>
      <c r="H22" s="93"/>
      <c r="I22" s="94"/>
      <c r="J22" s="103" t="s">
        <v>47</v>
      </c>
      <c r="K22" s="103" t="s">
        <v>48</v>
      </c>
      <c r="L22" s="104" t="s">
        <v>49</v>
      </c>
    </row>
    <row r="23" spans="1:12" x14ac:dyDescent="0.25">
      <c r="C23" s="229" t="s">
        <v>35</v>
      </c>
      <c r="D23" s="45" t="s">
        <v>74</v>
      </c>
      <c r="E23" s="46">
        <v>3.9300000000000002E-2</v>
      </c>
      <c r="F23" s="46">
        <v>3.9399999999999998E-2</v>
      </c>
      <c r="G23" s="105">
        <f>(E23-F23)/((1/2)*(E23+F23))</f>
        <v>-2.5412960609910024E-3</v>
      </c>
      <c r="H23" s="229" t="s">
        <v>35</v>
      </c>
      <c r="I23" s="45" t="s">
        <v>74</v>
      </c>
      <c r="J23" s="46">
        <v>2.6200000000000001E-2</v>
      </c>
      <c r="K23" s="46">
        <v>2.63E-2</v>
      </c>
      <c r="L23" s="105">
        <f>(J23-K23)/((1/2)*(J23+K23))</f>
        <v>-3.8095238095237861E-3</v>
      </c>
    </row>
    <row r="24" spans="1:12" x14ac:dyDescent="0.25">
      <c r="C24" s="230"/>
      <c r="D24" s="52" t="s">
        <v>75</v>
      </c>
      <c r="E24" s="7">
        <v>8.7200000000000006</v>
      </c>
      <c r="F24" s="7">
        <v>8.75</v>
      </c>
      <c r="G24" s="53">
        <f t="shared" ref="G24:G34" si="9">(E24-F24)/((1/2)*(E24+F24))</f>
        <v>-3.4344590726959772E-3</v>
      </c>
      <c r="H24" s="230"/>
      <c r="I24" s="52" t="s">
        <v>75</v>
      </c>
      <c r="J24" s="7">
        <v>0.47199999999999998</v>
      </c>
      <c r="K24" s="7">
        <v>0.47299999999999998</v>
      </c>
      <c r="L24" s="53">
        <f t="shared" ref="L24:L34" si="10">(J24-K24)/((1/2)*(J24+K24))</f>
        <v>-2.1164021164021183E-3</v>
      </c>
    </row>
    <row r="25" spans="1:12" ht="15.75" thickBot="1" x14ac:dyDescent="0.3">
      <c r="C25" s="233"/>
      <c r="D25" s="92" t="s">
        <v>76</v>
      </c>
      <c r="E25" s="118">
        <v>3270</v>
      </c>
      <c r="F25" s="118">
        <v>3280</v>
      </c>
      <c r="G25" s="107">
        <f t="shared" si="9"/>
        <v>-3.0534351145038168E-3</v>
      </c>
      <c r="H25" s="233"/>
      <c r="I25" s="92" t="s">
        <v>76</v>
      </c>
      <c r="J25" s="118">
        <v>952</v>
      </c>
      <c r="K25" s="118">
        <v>955</v>
      </c>
      <c r="L25" s="107">
        <f t="shared" si="10"/>
        <v>-3.146303093864709E-3</v>
      </c>
    </row>
    <row r="26" spans="1:12" x14ac:dyDescent="0.25">
      <c r="C26" s="229" t="s">
        <v>36</v>
      </c>
      <c r="D26" s="45" t="s">
        <v>74</v>
      </c>
      <c r="E26" s="46">
        <v>0.23599999999999999</v>
      </c>
      <c r="F26" s="46">
        <v>0.23599999999999999</v>
      </c>
      <c r="G26" s="105">
        <f t="shared" si="9"/>
        <v>0</v>
      </c>
      <c r="H26" s="229" t="s">
        <v>36</v>
      </c>
      <c r="I26" s="45" t="s">
        <v>74</v>
      </c>
      <c r="J26" s="46">
        <v>0.157</v>
      </c>
      <c r="K26" s="46">
        <v>0.157</v>
      </c>
      <c r="L26" s="105">
        <f t="shared" si="10"/>
        <v>0</v>
      </c>
    </row>
    <row r="27" spans="1:12" x14ac:dyDescent="0.25">
      <c r="C27" s="230"/>
      <c r="D27" s="52" t="s">
        <v>75</v>
      </c>
      <c r="E27" s="7">
        <v>0.84699999999999998</v>
      </c>
      <c r="F27" s="7">
        <v>0.84599999999999997</v>
      </c>
      <c r="G27" s="53">
        <f t="shared" si="9"/>
        <v>1.1813349084465457E-3</v>
      </c>
      <c r="H27" s="230"/>
      <c r="I27" s="52" t="s">
        <v>75</v>
      </c>
      <c r="J27" s="7">
        <v>8.56</v>
      </c>
      <c r="K27" s="7">
        <v>8.56</v>
      </c>
      <c r="L27" s="53">
        <f t="shared" si="10"/>
        <v>0</v>
      </c>
    </row>
    <row r="28" spans="1:12" ht="15.75" thickBot="1" x14ac:dyDescent="0.3">
      <c r="C28" s="231"/>
      <c r="D28" s="92" t="s">
        <v>76</v>
      </c>
      <c r="E28" s="10">
        <v>122</v>
      </c>
      <c r="F28" s="10">
        <v>122</v>
      </c>
      <c r="G28" s="107">
        <f t="shared" si="9"/>
        <v>0</v>
      </c>
      <c r="H28" s="231"/>
      <c r="I28" s="92" t="s">
        <v>76</v>
      </c>
      <c r="J28" s="10">
        <v>6650</v>
      </c>
      <c r="K28" s="10">
        <v>6650</v>
      </c>
      <c r="L28" s="107">
        <f t="shared" si="10"/>
        <v>0</v>
      </c>
    </row>
    <row r="29" spans="1:12" x14ac:dyDescent="0.25">
      <c r="C29" s="229" t="s">
        <v>37</v>
      </c>
      <c r="D29" s="95" t="s">
        <v>74</v>
      </c>
      <c r="E29" s="46">
        <v>36.5</v>
      </c>
      <c r="F29" s="46">
        <v>36.5</v>
      </c>
      <c r="G29" s="105">
        <f t="shared" si="9"/>
        <v>0</v>
      </c>
      <c r="H29" s="229" t="s">
        <v>37</v>
      </c>
      <c r="I29" s="45" t="s">
        <v>74</v>
      </c>
      <c r="J29" s="46">
        <v>24.4</v>
      </c>
      <c r="K29" s="46">
        <v>24.4</v>
      </c>
      <c r="L29" s="105">
        <f t="shared" si="10"/>
        <v>0</v>
      </c>
    </row>
    <row r="30" spans="1:12" x14ac:dyDescent="0.25">
      <c r="C30" s="230"/>
      <c r="D30" s="96" t="s">
        <v>75</v>
      </c>
      <c r="E30" s="74"/>
      <c r="F30" s="74"/>
      <c r="G30" s="108"/>
      <c r="H30" s="230"/>
      <c r="I30" s="52" t="s">
        <v>75</v>
      </c>
      <c r="J30" s="7">
        <v>0.313</v>
      </c>
      <c r="K30" s="7">
        <v>0.313</v>
      </c>
      <c r="L30" s="53">
        <f t="shared" si="10"/>
        <v>0</v>
      </c>
    </row>
    <row r="31" spans="1:12" ht="15.75" thickBot="1" x14ac:dyDescent="0.3">
      <c r="C31" s="231"/>
      <c r="D31" s="97" t="s">
        <v>76</v>
      </c>
      <c r="E31" s="119"/>
      <c r="F31" s="119"/>
      <c r="G31" s="109"/>
      <c r="H31" s="231"/>
      <c r="I31" s="59" t="s">
        <v>76</v>
      </c>
      <c r="J31" s="10">
        <v>36900</v>
      </c>
      <c r="K31" s="10">
        <v>36900</v>
      </c>
      <c r="L31" s="107">
        <f t="shared" si="10"/>
        <v>0</v>
      </c>
    </row>
    <row r="32" spans="1:12" x14ac:dyDescent="0.25">
      <c r="C32" s="232" t="s">
        <v>38</v>
      </c>
      <c r="D32" s="98" t="s">
        <v>74</v>
      </c>
      <c r="E32" s="65">
        <v>3.1099999999999999E-2</v>
      </c>
      <c r="F32" s="65">
        <v>3.1099999999999999E-2</v>
      </c>
      <c r="G32" s="105">
        <f t="shared" si="9"/>
        <v>0</v>
      </c>
      <c r="H32" s="232" t="s">
        <v>38</v>
      </c>
      <c r="I32" s="120" t="s">
        <v>74</v>
      </c>
      <c r="J32" s="65">
        <v>2.0799999999999999E-2</v>
      </c>
      <c r="K32" s="65">
        <v>2.07E-2</v>
      </c>
      <c r="L32" s="105">
        <f t="shared" si="10"/>
        <v>4.8192771084337067E-3</v>
      </c>
    </row>
    <row r="33" spans="3:12" x14ac:dyDescent="0.25">
      <c r="C33" s="230"/>
      <c r="D33" s="96" t="s">
        <v>75</v>
      </c>
      <c r="E33" s="7">
        <v>14.7</v>
      </c>
      <c r="F33" s="7">
        <v>14.6</v>
      </c>
      <c r="G33" s="53">
        <f t="shared" si="9"/>
        <v>6.8259385665528777E-3</v>
      </c>
      <c r="H33" s="230"/>
      <c r="I33" s="52" t="s">
        <v>75</v>
      </c>
      <c r="J33" s="7">
        <v>180</v>
      </c>
      <c r="K33" s="7">
        <v>180</v>
      </c>
      <c r="L33" s="53">
        <f t="shared" si="10"/>
        <v>0</v>
      </c>
    </row>
    <row r="34" spans="3:12" ht="15.75" thickBot="1" x14ac:dyDescent="0.3">
      <c r="C34" s="231"/>
      <c r="D34" s="97" t="s">
        <v>76</v>
      </c>
      <c r="E34" s="10">
        <v>5190</v>
      </c>
      <c r="F34" s="10">
        <v>5180</v>
      </c>
      <c r="G34" s="106">
        <f t="shared" si="9"/>
        <v>1.9286403085824494E-3</v>
      </c>
      <c r="H34" s="231"/>
      <c r="I34" s="59" t="s">
        <v>76</v>
      </c>
      <c r="J34" s="10">
        <v>343000</v>
      </c>
      <c r="K34" s="10">
        <v>342000</v>
      </c>
      <c r="L34" s="106">
        <f t="shared" si="10"/>
        <v>2.9197080291970801E-3</v>
      </c>
    </row>
  </sheetData>
  <mergeCells count="19">
    <mergeCell ref="C7:D7"/>
    <mergeCell ref="D10:D12"/>
    <mergeCell ref="D13:D15"/>
    <mergeCell ref="D16:D18"/>
    <mergeCell ref="D19:D21"/>
    <mergeCell ref="J8:L8"/>
    <mergeCell ref="I10:I12"/>
    <mergeCell ref="I13:I15"/>
    <mergeCell ref="I16:I18"/>
    <mergeCell ref="I19:I21"/>
    <mergeCell ref="E8:G8"/>
    <mergeCell ref="C26:C28"/>
    <mergeCell ref="C29:C31"/>
    <mergeCell ref="C32:C34"/>
    <mergeCell ref="H23:H25"/>
    <mergeCell ref="H26:H28"/>
    <mergeCell ref="H29:H31"/>
    <mergeCell ref="H32:H34"/>
    <mergeCell ref="C23:C25"/>
  </mergeCells>
  <conditionalFormatting sqref="L23:L34">
    <cfRule type="cellIs" dxfId="11" priority="1" operator="lessThan">
      <formula>-0.01</formula>
    </cfRule>
    <cfRule type="cellIs" dxfId="10" priority="2" operator="notEqual">
      <formula>0</formula>
    </cfRule>
  </conditionalFormatting>
  <conditionalFormatting sqref="G23:G34">
    <cfRule type="cellIs" dxfId="9" priority="3" operator="lessThan">
      <formula>-0.01</formula>
    </cfRule>
    <cfRule type="cellIs" dxfId="8" priority="4" operator="notEqual">
      <formula>0</formula>
    </cfRule>
  </conditionalFormatting>
  <pageMargins left="0.7" right="0.7" top="0.75" bottom="0.75" header="0.3" footer="0.3"/>
  <pageSetup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70" zoomScaleNormal="70" workbookViewId="0">
      <selection activeCell="N53" sqref="N53"/>
    </sheetView>
  </sheetViews>
  <sheetFormatPr defaultRowHeight="15" x14ac:dyDescent="0.25"/>
  <cols>
    <col min="6" max="6" width="9.42578125" bestFit="1" customWidth="1"/>
    <col min="7" max="7" width="11.42578125" bestFit="1" customWidth="1"/>
  </cols>
  <sheetData>
    <row r="1" spans="1:9" x14ac:dyDescent="0.25">
      <c r="A1" s="79" t="s">
        <v>0</v>
      </c>
      <c r="B1" s="80" t="s">
        <v>1</v>
      </c>
      <c r="C1" s="76"/>
      <c r="D1" s="198" t="s">
        <v>113</v>
      </c>
      <c r="E1" s="4" t="s">
        <v>26</v>
      </c>
      <c r="F1" s="4" t="s">
        <v>27</v>
      </c>
      <c r="G1" s="4" t="s">
        <v>28</v>
      </c>
      <c r="H1" s="4" t="s">
        <v>94</v>
      </c>
      <c r="I1" s="5" t="s">
        <v>91</v>
      </c>
    </row>
    <row r="2" spans="1:9" x14ac:dyDescent="0.25">
      <c r="A2" s="81" t="s">
        <v>2</v>
      </c>
      <c r="B2" s="26">
        <v>9.9999999999999995E-7</v>
      </c>
      <c r="C2" s="77" t="s">
        <v>35</v>
      </c>
      <c r="D2" s="77" t="s">
        <v>119</v>
      </c>
      <c r="E2" s="7">
        <v>432</v>
      </c>
      <c r="F2" s="7">
        <f>0.693/E2</f>
        <v>1.6041666666666665E-3</v>
      </c>
      <c r="G2" s="7">
        <f>(1-EXP(-(F2)*$B$3))</f>
        <v>0.9999591763913287</v>
      </c>
      <c r="H2" s="7">
        <f>'Isotope Specific Factors'!C11</f>
        <v>1.04E-10</v>
      </c>
      <c r="I2" s="8">
        <f>'Isotope Specific Factors'!H3</f>
        <v>1.3199999999999999E-13</v>
      </c>
    </row>
    <row r="3" spans="1:9" x14ac:dyDescent="0.25">
      <c r="A3" s="86" t="s">
        <v>80</v>
      </c>
      <c r="B3" s="82">
        <f>($B$4*$B$5*$B$6*$B$7*$B$8)+($B$9*$B$10*$B$11*$B$12*$B$13)</f>
        <v>6300</v>
      </c>
      <c r="C3" s="77" t="s">
        <v>36</v>
      </c>
      <c r="D3" s="77" t="s">
        <v>119</v>
      </c>
      <c r="E3" s="7">
        <v>5.27</v>
      </c>
      <c r="F3" s="7">
        <f t="shared" ref="F3:F5" si="0">0.693/E3</f>
        <v>0.13149905123339659</v>
      </c>
      <c r="G3" s="7">
        <f t="shared" ref="G3:G5" si="1">(1-EXP(-(F3)*$B$3))</f>
        <v>1</v>
      </c>
      <c r="H3" s="7">
        <f>'Isotope Specific Factors'!C12</f>
        <v>1.58E-11</v>
      </c>
      <c r="I3" s="8">
        <f>'Isotope Specific Factors'!H4</f>
        <v>2.4400000000000001E-11</v>
      </c>
    </row>
    <row r="4" spans="1:9" x14ac:dyDescent="0.25">
      <c r="A4" s="81" t="s">
        <v>81</v>
      </c>
      <c r="B4" s="82">
        <v>250</v>
      </c>
      <c r="C4" s="77" t="s">
        <v>37</v>
      </c>
      <c r="D4" s="77" t="s">
        <v>18</v>
      </c>
      <c r="E4" s="7">
        <v>12.3</v>
      </c>
      <c r="F4" s="7">
        <f t="shared" si="0"/>
        <v>5.6341463414634141E-2</v>
      </c>
      <c r="G4" s="7">
        <f t="shared" si="1"/>
        <v>1</v>
      </c>
      <c r="H4" s="7">
        <f>'Isotope Specific Factors'!C13</f>
        <v>5.0700000000000001E-14</v>
      </c>
      <c r="I4" s="8">
        <f>'Isotope Specific Factors'!H5</f>
        <v>0</v>
      </c>
    </row>
    <row r="5" spans="1:9" ht="15.75" thickBot="1" x14ac:dyDescent="0.3">
      <c r="A5" s="81" t="s">
        <v>82</v>
      </c>
      <c r="B5" s="82">
        <v>4</v>
      </c>
      <c r="C5" s="78" t="s">
        <v>38</v>
      </c>
      <c r="D5" s="78" t="s">
        <v>119</v>
      </c>
      <c r="E5" s="10">
        <v>87.7</v>
      </c>
      <c r="F5" s="10">
        <f t="shared" si="0"/>
        <v>7.9019384264538192E-3</v>
      </c>
      <c r="G5" s="10">
        <f t="shared" si="1"/>
        <v>1</v>
      </c>
      <c r="H5" s="10">
        <f>'Isotope Specific Factors'!C15</f>
        <v>1.3100000000000001E-10</v>
      </c>
      <c r="I5" s="11">
        <f>'Isotope Specific Factors'!H7</f>
        <v>5.9600000000000002E-16</v>
      </c>
    </row>
    <row r="6" spans="1:9" x14ac:dyDescent="0.25">
      <c r="A6" s="81" t="s">
        <v>92</v>
      </c>
      <c r="B6" s="82">
        <v>12</v>
      </c>
    </row>
    <row r="7" spans="1:9" x14ac:dyDescent="0.25">
      <c r="A7" s="81" t="s">
        <v>83</v>
      </c>
      <c r="B7" s="82">
        <v>3</v>
      </c>
    </row>
    <row r="8" spans="1:9" ht="15.75" thickBot="1" x14ac:dyDescent="0.3">
      <c r="A8" s="81" t="s">
        <v>84</v>
      </c>
      <c r="B8" s="82">
        <v>0.05</v>
      </c>
      <c r="D8" s="43"/>
      <c r="E8" s="14" t="s">
        <v>41</v>
      </c>
      <c r="F8" s="14" t="s">
        <v>93</v>
      </c>
      <c r="G8" s="14" t="s">
        <v>44</v>
      </c>
    </row>
    <row r="9" spans="1:9" x14ac:dyDescent="0.25">
      <c r="A9" s="81" t="s">
        <v>85</v>
      </c>
      <c r="B9" s="82">
        <v>250</v>
      </c>
      <c r="D9" s="229" t="s">
        <v>35</v>
      </c>
      <c r="E9" s="46">
        <f>$B$2</f>
        <v>9.9999999999999995E-7</v>
      </c>
      <c r="F9" s="46">
        <f>$B$2</f>
        <v>9.9999999999999995E-7</v>
      </c>
      <c r="G9" s="110">
        <f>1</f>
        <v>1</v>
      </c>
    </row>
    <row r="10" spans="1:9" x14ac:dyDescent="0.25">
      <c r="A10" s="81" t="s">
        <v>86</v>
      </c>
      <c r="B10" s="82">
        <v>15</v>
      </c>
      <c r="D10" s="230"/>
      <c r="E10" s="7">
        <f>H2*$B$3</f>
        <v>6.5519999999999999E-7</v>
      </c>
      <c r="F10" s="7">
        <f>I2*(1/8760)*$B$14</f>
        <v>1.8986301369863011E-12</v>
      </c>
      <c r="G10" s="8">
        <f>(1/E11)+(1/F11)</f>
        <v>0.655201898630137</v>
      </c>
    </row>
    <row r="11" spans="1:9" ht="15.75" thickBot="1" x14ac:dyDescent="0.3">
      <c r="A11" s="81" t="s">
        <v>87</v>
      </c>
      <c r="B11" s="82">
        <v>12</v>
      </c>
      <c r="D11" s="231"/>
      <c r="E11" s="111">
        <f>E9/E10</f>
        <v>1.5262515262515262</v>
      </c>
      <c r="F11" s="111">
        <f t="shared" ref="F11:G11" si="2">F9/F10</f>
        <v>526695.52669552679</v>
      </c>
      <c r="G11" s="123">
        <f t="shared" si="2"/>
        <v>1.5262471035122904</v>
      </c>
    </row>
    <row r="12" spans="1:9" x14ac:dyDescent="0.25">
      <c r="A12" s="81" t="s">
        <v>88</v>
      </c>
      <c r="B12" s="82">
        <v>2</v>
      </c>
      <c r="D12" s="229" t="s">
        <v>36</v>
      </c>
      <c r="E12" s="46">
        <f>$B$2</f>
        <v>9.9999999999999995E-7</v>
      </c>
      <c r="F12" s="46">
        <f>$B$2</f>
        <v>9.9999999999999995E-7</v>
      </c>
      <c r="G12" s="110">
        <f>1</f>
        <v>1</v>
      </c>
    </row>
    <row r="13" spans="1:9" x14ac:dyDescent="0.25">
      <c r="A13" s="81" t="s">
        <v>89</v>
      </c>
      <c r="B13" s="82">
        <v>0.05</v>
      </c>
      <c r="D13" s="230"/>
      <c r="E13" s="7">
        <f>H3*$B$3</f>
        <v>9.9540000000000003E-8</v>
      </c>
      <c r="F13" s="7">
        <f>I3*(1/8760)*$B$14</f>
        <v>3.5095890410958906E-10</v>
      </c>
      <c r="G13" s="8">
        <f>(1/E14)+(1/F14)</f>
        <v>9.9890958904109609E-2</v>
      </c>
    </row>
    <row r="14" spans="1:9" ht="15.75" thickBot="1" x14ac:dyDescent="0.3">
      <c r="A14" s="121" t="s">
        <v>90</v>
      </c>
      <c r="B14" s="85">
        <f>($B$4*$B$5*$B$6*$B$7)+($B$9*$B$10*$B$11*$B$12)</f>
        <v>126000</v>
      </c>
      <c r="D14" s="231"/>
      <c r="E14" s="111">
        <f>E12/E13</f>
        <v>10.046212577858146</v>
      </c>
      <c r="F14" s="111">
        <f t="shared" ref="F14" si="3">F12/F13</f>
        <v>2849.3364558938329</v>
      </c>
      <c r="G14" s="123">
        <f t="shared" ref="G14" si="4">G12/G13</f>
        <v>10.010916012528728</v>
      </c>
    </row>
    <row r="15" spans="1:9" x14ac:dyDescent="0.25">
      <c r="D15" s="229" t="s">
        <v>37</v>
      </c>
      <c r="E15" s="46">
        <f>$B$2</f>
        <v>9.9999999999999995E-7</v>
      </c>
      <c r="F15" s="113"/>
      <c r="G15" s="110">
        <f>1</f>
        <v>1</v>
      </c>
    </row>
    <row r="16" spans="1:9" x14ac:dyDescent="0.25">
      <c r="D16" s="230"/>
      <c r="E16" s="7">
        <f>H4*$B$3</f>
        <v>3.1940999999999999E-10</v>
      </c>
      <c r="F16" s="74"/>
      <c r="G16" s="8">
        <f>(1/E17)</f>
        <v>3.1941000000000001E-4</v>
      </c>
    </row>
    <row r="17" spans="3:7" ht="15.75" thickBot="1" x14ac:dyDescent="0.3">
      <c r="D17" s="231"/>
      <c r="E17" s="111">
        <f>E15/E16</f>
        <v>3130.7723615415921</v>
      </c>
      <c r="F17" s="116"/>
      <c r="G17" s="123">
        <f t="shared" ref="G17" si="5">G15/G16</f>
        <v>3130.7723615415921</v>
      </c>
    </row>
    <row r="18" spans="3:7" x14ac:dyDescent="0.25">
      <c r="D18" s="229" t="s">
        <v>38</v>
      </c>
      <c r="E18" s="46">
        <f>$B$2</f>
        <v>9.9999999999999995E-7</v>
      </c>
      <c r="F18" s="46">
        <f>$B$2</f>
        <v>9.9999999999999995E-7</v>
      </c>
      <c r="G18" s="110">
        <f>1</f>
        <v>1</v>
      </c>
    </row>
    <row r="19" spans="3:7" x14ac:dyDescent="0.25">
      <c r="D19" s="230"/>
      <c r="E19" s="7">
        <f>H5*$B$3</f>
        <v>8.2530000000000006E-7</v>
      </c>
      <c r="F19" s="7">
        <f>I5*(1/8760)*$B$14</f>
        <v>8.5726027397260286E-15</v>
      </c>
      <c r="G19" s="8">
        <f>(1/E20)+(1/F20)</f>
        <v>0.82530000857260288</v>
      </c>
    </row>
    <row r="20" spans="3:7" ht="15.75" thickBot="1" x14ac:dyDescent="0.3">
      <c r="D20" s="231"/>
      <c r="E20" s="111">
        <f>E18/E19</f>
        <v>1.2116806009935779</v>
      </c>
      <c r="F20" s="111">
        <f t="shared" ref="F20" si="6">F18/F19</f>
        <v>116650687.12048575</v>
      </c>
      <c r="G20" s="123">
        <f t="shared" ref="G20" si="7">G18/G19</f>
        <v>1.2116805884075408</v>
      </c>
    </row>
    <row r="21" spans="3:7" ht="15.75" thickBot="1" x14ac:dyDescent="0.3">
      <c r="C21" s="93"/>
      <c r="D21" s="94"/>
      <c r="E21" s="99" t="s">
        <v>47</v>
      </c>
      <c r="F21" s="99" t="s">
        <v>48</v>
      </c>
      <c r="G21" s="100" t="s">
        <v>49</v>
      </c>
    </row>
    <row r="22" spans="3:7" x14ac:dyDescent="0.25">
      <c r="C22" s="229" t="s">
        <v>35</v>
      </c>
      <c r="D22" s="45" t="s">
        <v>41</v>
      </c>
      <c r="E22" s="46">
        <v>1.53</v>
      </c>
      <c r="F22" s="46">
        <v>1.53</v>
      </c>
      <c r="G22" s="105">
        <f>(E22-F22)/((1/2)*(E22+F22))</f>
        <v>0</v>
      </c>
    </row>
    <row r="23" spans="3:7" x14ac:dyDescent="0.25">
      <c r="C23" s="230"/>
      <c r="D23" s="52" t="s">
        <v>93</v>
      </c>
      <c r="E23" s="7">
        <v>527000</v>
      </c>
      <c r="F23" s="7">
        <v>527000</v>
      </c>
      <c r="G23" s="53">
        <f t="shared" ref="G23:G33" si="8">(E23-F23)/((1/2)*(E23+F23))</f>
        <v>0</v>
      </c>
    </row>
    <row r="24" spans="3:7" ht="15.75" thickBot="1" x14ac:dyDescent="0.3">
      <c r="C24" s="233"/>
      <c r="D24" s="92" t="s">
        <v>44</v>
      </c>
      <c r="E24" s="118">
        <v>1.53</v>
      </c>
      <c r="F24" s="118">
        <v>1.53</v>
      </c>
      <c r="G24" s="107">
        <f t="shared" si="8"/>
        <v>0</v>
      </c>
    </row>
    <row r="25" spans="3:7" x14ac:dyDescent="0.25">
      <c r="C25" s="229" t="s">
        <v>36</v>
      </c>
      <c r="D25" s="45" t="s">
        <v>41</v>
      </c>
      <c r="E25" s="46">
        <v>10</v>
      </c>
      <c r="F25" s="46">
        <v>10.1</v>
      </c>
      <c r="G25" s="105">
        <f t="shared" si="8"/>
        <v>-9.9502487562188689E-3</v>
      </c>
    </row>
    <row r="26" spans="3:7" x14ac:dyDescent="0.25">
      <c r="C26" s="230"/>
      <c r="D26" s="52" t="s">
        <v>93</v>
      </c>
      <c r="E26" s="7">
        <v>2850</v>
      </c>
      <c r="F26" s="7">
        <v>2850</v>
      </c>
      <c r="G26" s="53">
        <f t="shared" si="8"/>
        <v>0</v>
      </c>
    </row>
    <row r="27" spans="3:7" ht="15.75" thickBot="1" x14ac:dyDescent="0.3">
      <c r="C27" s="231"/>
      <c r="D27" s="92" t="s">
        <v>44</v>
      </c>
      <c r="E27" s="10">
        <v>10</v>
      </c>
      <c r="F27" s="10">
        <v>10</v>
      </c>
      <c r="G27" s="107">
        <f t="shared" si="8"/>
        <v>0</v>
      </c>
    </row>
    <row r="28" spans="3:7" x14ac:dyDescent="0.25">
      <c r="C28" s="229" t="s">
        <v>37</v>
      </c>
      <c r="D28" s="45" t="s">
        <v>41</v>
      </c>
      <c r="E28" s="46">
        <v>3130</v>
      </c>
      <c r="F28" s="46">
        <v>3130</v>
      </c>
      <c r="G28" s="105">
        <f t="shared" si="8"/>
        <v>0</v>
      </c>
    </row>
    <row r="29" spans="3:7" x14ac:dyDescent="0.25">
      <c r="C29" s="230"/>
      <c r="D29" s="52" t="s">
        <v>93</v>
      </c>
      <c r="E29" s="74"/>
      <c r="F29" s="74"/>
      <c r="G29" s="108"/>
    </row>
    <row r="30" spans="3:7" ht="15.75" thickBot="1" x14ac:dyDescent="0.3">
      <c r="C30" s="231"/>
      <c r="D30" s="92" t="s">
        <v>44</v>
      </c>
      <c r="E30" s="124">
        <v>3130</v>
      </c>
      <c r="F30" s="124">
        <v>3130</v>
      </c>
      <c r="G30" s="107">
        <f t="shared" si="8"/>
        <v>0</v>
      </c>
    </row>
    <row r="31" spans="3:7" x14ac:dyDescent="0.25">
      <c r="C31" s="232" t="s">
        <v>38</v>
      </c>
      <c r="D31" s="45" t="s">
        <v>41</v>
      </c>
      <c r="E31" s="65">
        <v>1.21</v>
      </c>
      <c r="F31" s="65">
        <v>1.21</v>
      </c>
      <c r="G31" s="105">
        <f t="shared" si="8"/>
        <v>0</v>
      </c>
    </row>
    <row r="32" spans="3:7" x14ac:dyDescent="0.25">
      <c r="C32" s="230"/>
      <c r="D32" s="52" t="s">
        <v>93</v>
      </c>
      <c r="E32" s="7">
        <v>117000000</v>
      </c>
      <c r="F32" s="7">
        <v>117000000</v>
      </c>
      <c r="G32" s="53">
        <f t="shared" si="8"/>
        <v>0</v>
      </c>
    </row>
    <row r="33" spans="3:7" ht="15.75" thickBot="1" x14ac:dyDescent="0.3">
      <c r="C33" s="231"/>
      <c r="D33" s="59" t="s">
        <v>44</v>
      </c>
      <c r="E33" s="10">
        <v>1.21</v>
      </c>
      <c r="F33" s="10">
        <v>1.21</v>
      </c>
      <c r="G33" s="106">
        <f t="shared" si="8"/>
        <v>0</v>
      </c>
    </row>
  </sheetData>
  <mergeCells count="8">
    <mergeCell ref="C28:C30"/>
    <mergeCell ref="C31:C33"/>
    <mergeCell ref="D9:D11"/>
    <mergeCell ref="D18:D20"/>
    <mergeCell ref="D15:D17"/>
    <mergeCell ref="D12:D14"/>
    <mergeCell ref="C22:C24"/>
    <mergeCell ref="C25:C27"/>
  </mergeCells>
  <conditionalFormatting sqref="G22:G33">
    <cfRule type="cellIs" dxfId="7" priority="1" operator="lessThan">
      <formula>-0.01</formula>
    </cfRule>
    <cfRule type="cellIs" dxfId="6" priority="2" operator="notEqual">
      <formula>0</formula>
    </cfRule>
  </conditionalFormatting>
  <pageMargins left="0.7" right="0.7" top="0.75" bottom="0.75" header="0.3" footer="0.3"/>
  <pageSetup scale="7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40" zoomScaleNormal="40" workbookViewId="0">
      <selection activeCell="AJ32" sqref="AJ32"/>
    </sheetView>
  </sheetViews>
  <sheetFormatPr defaultRowHeight="15" x14ac:dyDescent="0.25"/>
  <cols>
    <col min="1" max="1" width="8.5703125" bestFit="1" customWidth="1"/>
    <col min="2" max="2" width="7.85546875" bestFit="1" customWidth="1"/>
    <col min="3" max="3" width="7.28515625" bestFit="1" customWidth="1"/>
    <col min="4" max="4" width="13.28515625" bestFit="1" customWidth="1"/>
    <col min="5" max="6" width="10.7109375" bestFit="1" customWidth="1"/>
    <col min="7" max="7" width="11.7109375" bestFit="1" customWidth="1"/>
    <col min="8" max="8" width="9.5703125" bestFit="1" customWidth="1"/>
    <col min="9" max="10" width="9.7109375" bestFit="1" customWidth="1"/>
    <col min="11" max="11" width="13.28515625" bestFit="1" customWidth="1"/>
    <col min="12" max="13" width="10.7109375" bestFit="1" customWidth="1"/>
    <col min="14" max="14" width="11.7109375" bestFit="1" customWidth="1"/>
    <col min="15" max="15" width="9.5703125" bestFit="1" customWidth="1"/>
    <col min="17" max="17" width="7.28515625" bestFit="1" customWidth="1"/>
    <col min="18" max="18" width="13.28515625" bestFit="1" customWidth="1"/>
    <col min="19" max="20" width="10.7109375" bestFit="1" customWidth="1"/>
    <col min="21" max="21" width="11.7109375" bestFit="1" customWidth="1"/>
    <col min="22" max="22" width="9.5703125" bestFit="1" customWidth="1"/>
  </cols>
  <sheetData>
    <row r="1" spans="1:21" x14ac:dyDescent="0.25">
      <c r="A1" s="79" t="s">
        <v>0</v>
      </c>
      <c r="B1" s="80" t="s">
        <v>1</v>
      </c>
      <c r="C1" s="76"/>
      <c r="D1" s="198" t="s">
        <v>113</v>
      </c>
      <c r="E1" s="4" t="s">
        <v>26</v>
      </c>
      <c r="F1" s="4" t="s">
        <v>27</v>
      </c>
      <c r="G1" s="4" t="s">
        <v>28</v>
      </c>
      <c r="H1" s="4" t="s">
        <v>31</v>
      </c>
      <c r="I1" s="4" t="s">
        <v>95</v>
      </c>
      <c r="J1" s="4" t="s">
        <v>96</v>
      </c>
      <c r="K1" s="4" t="s">
        <v>97</v>
      </c>
      <c r="L1" s="4" t="s">
        <v>98</v>
      </c>
      <c r="M1" s="5" t="s">
        <v>99</v>
      </c>
    </row>
    <row r="2" spans="1:21" x14ac:dyDescent="0.25">
      <c r="A2" s="81" t="s">
        <v>2</v>
      </c>
      <c r="B2" s="26">
        <v>9.9999999999999995E-7</v>
      </c>
      <c r="C2" s="77" t="s">
        <v>35</v>
      </c>
      <c r="D2" s="77" t="s">
        <v>119</v>
      </c>
      <c r="E2" s="7">
        <v>432</v>
      </c>
      <c r="F2" s="7">
        <f>0.693/E2</f>
        <v>1.6041666666666665E-3</v>
      </c>
      <c r="G2" s="7">
        <f>(1-EXP(-(F2)*$B$3))</f>
        <v>3.0019360213291768E-2</v>
      </c>
      <c r="H2" s="7">
        <f>'Isotope Specific Factors'!D3</f>
        <v>2.77E-8</v>
      </c>
      <c r="I2" s="7">
        <f>'Isotope Specific Factors'!E3</f>
        <v>1.3799999999999999E-8</v>
      </c>
      <c r="J2" s="7">
        <f>'Isotope Specific Factors'!F3</f>
        <v>2.5799999999999999E-8</v>
      </c>
      <c r="K2" s="7">
        <f>'Isotope Specific Factors'!G3</f>
        <v>2.77E-8</v>
      </c>
      <c r="L2" s="7">
        <f>'Isotope Specific Factors'!C3</f>
        <v>1.8699999999999999E-8</v>
      </c>
      <c r="M2" s="8">
        <v>1</v>
      </c>
    </row>
    <row r="3" spans="1:21" x14ac:dyDescent="0.25">
      <c r="A3" s="81" t="s">
        <v>3</v>
      </c>
      <c r="B3" s="82">
        <v>19</v>
      </c>
      <c r="C3" s="77" t="s">
        <v>36</v>
      </c>
      <c r="D3" s="77" t="s">
        <v>119</v>
      </c>
      <c r="E3" s="7">
        <v>5.27</v>
      </c>
      <c r="F3" s="7">
        <f t="shared" ref="F3:F5" si="0">0.693/E3</f>
        <v>0.13149905123339659</v>
      </c>
      <c r="G3" s="7">
        <f t="shared" ref="G3:G5" si="1">(1-EXP(-(F3)*$B$3))</f>
        <v>0.91779029954116187</v>
      </c>
      <c r="H3" s="7">
        <f>'Isotope Specific Factors'!D4</f>
        <v>1.24E-5</v>
      </c>
      <c r="I3" s="7">
        <f>'Isotope Specific Factors'!E4</f>
        <v>2.26E-6</v>
      </c>
      <c r="J3" s="7">
        <f>'Isotope Specific Factors'!F4</f>
        <v>6.4899999999999997E-6</v>
      </c>
      <c r="K3" s="7">
        <f>'Isotope Specific Factors'!G4</f>
        <v>1.04E-5</v>
      </c>
      <c r="L3" s="7">
        <f>'Isotope Specific Factors'!C4</f>
        <v>2.1900000000000002E-6</v>
      </c>
      <c r="M3" s="8">
        <v>1</v>
      </c>
    </row>
    <row r="4" spans="1:21" x14ac:dyDescent="0.25">
      <c r="A4" s="170" t="s">
        <v>50</v>
      </c>
      <c r="B4" s="82">
        <v>250</v>
      </c>
      <c r="C4" s="77" t="s">
        <v>37</v>
      </c>
      <c r="D4" s="77" t="s">
        <v>119</v>
      </c>
      <c r="E4" s="7">
        <v>12.3</v>
      </c>
      <c r="F4" s="7">
        <f t="shared" si="0"/>
        <v>5.6341463414634141E-2</v>
      </c>
      <c r="G4" s="7">
        <f t="shared" si="1"/>
        <v>0.65715876300588172</v>
      </c>
      <c r="H4" s="7">
        <f>'Isotope Specific Factors'!D6</f>
        <v>0</v>
      </c>
      <c r="I4" s="7">
        <f>'Isotope Specific Factors'!E6</f>
        <v>0</v>
      </c>
      <c r="J4" s="7">
        <f>'Isotope Specific Factors'!F6</f>
        <v>0</v>
      </c>
      <c r="K4" s="7">
        <f>'Isotope Specific Factors'!G6</f>
        <v>0</v>
      </c>
      <c r="L4" s="7">
        <f>'Isotope Specific Factors'!C6</f>
        <v>0</v>
      </c>
      <c r="M4" s="8">
        <v>1</v>
      </c>
    </row>
    <row r="5" spans="1:21" ht="15.75" thickBot="1" x14ac:dyDescent="0.3">
      <c r="A5" s="81" t="s">
        <v>51</v>
      </c>
      <c r="B5" s="82">
        <v>19</v>
      </c>
      <c r="C5" s="78" t="s">
        <v>38</v>
      </c>
      <c r="D5" s="78" t="s">
        <v>119</v>
      </c>
      <c r="E5" s="10">
        <v>87.7</v>
      </c>
      <c r="F5" s="10">
        <f t="shared" si="0"/>
        <v>7.9019384264538192E-3</v>
      </c>
      <c r="G5" s="10">
        <f t="shared" si="1"/>
        <v>0.13940978627875933</v>
      </c>
      <c r="H5" s="10">
        <f>'Isotope Specific Factors'!D7</f>
        <v>6.9200000000000004E-11</v>
      </c>
      <c r="I5" s="10">
        <f>'Isotope Specific Factors'!E7</f>
        <v>4.8100000000000001E-11</v>
      </c>
      <c r="J5" s="10">
        <f>'Isotope Specific Factors'!F7</f>
        <v>6.3000000000000002E-11</v>
      </c>
      <c r="K5" s="10">
        <f>'Isotope Specific Factors'!G7</f>
        <v>6.8700000000000006E-11</v>
      </c>
      <c r="L5" s="10">
        <f>'Isotope Specific Factors'!C7</f>
        <v>3.6800000000000002E-10</v>
      </c>
      <c r="M5" s="11">
        <v>1</v>
      </c>
    </row>
    <row r="6" spans="1:21" ht="15.75" thickBot="1" x14ac:dyDescent="0.3">
      <c r="A6" s="84" t="s">
        <v>52</v>
      </c>
      <c r="B6" s="85">
        <v>12</v>
      </c>
      <c r="C6" s="125"/>
      <c r="D6" s="126"/>
      <c r="E6" s="126"/>
      <c r="F6" s="126"/>
      <c r="G6" s="126"/>
      <c r="H6" s="127"/>
      <c r="I6" s="128"/>
    </row>
    <row r="7" spans="1:21" x14ac:dyDescent="0.25">
      <c r="B7" s="129"/>
      <c r="C7" s="130" t="s">
        <v>34</v>
      </c>
      <c r="D7" s="130" t="s">
        <v>100</v>
      </c>
      <c r="E7" s="130" t="s">
        <v>101</v>
      </c>
      <c r="F7" s="130" t="s">
        <v>102</v>
      </c>
      <c r="G7" s="131" t="s">
        <v>103</v>
      </c>
      <c r="H7" s="132"/>
      <c r="I7" s="129"/>
      <c r="J7" s="133" t="s">
        <v>34</v>
      </c>
      <c r="K7" s="133" t="s">
        <v>100</v>
      </c>
      <c r="L7" s="133" t="s">
        <v>101</v>
      </c>
      <c r="M7" s="133" t="s">
        <v>102</v>
      </c>
      <c r="N7" s="134" t="s">
        <v>103</v>
      </c>
      <c r="P7" s="129"/>
      <c r="Q7" s="135" t="s">
        <v>34</v>
      </c>
      <c r="R7" s="135" t="s">
        <v>100</v>
      </c>
      <c r="S7" s="135" t="s">
        <v>101</v>
      </c>
      <c r="T7" s="135" t="s">
        <v>102</v>
      </c>
      <c r="U7" s="136" t="s">
        <v>103</v>
      </c>
    </row>
    <row r="8" spans="1:21" x14ac:dyDescent="0.25">
      <c r="B8" s="6" t="s">
        <v>35</v>
      </c>
      <c r="C8" s="7">
        <v>0.108</v>
      </c>
      <c r="D8" s="7">
        <v>9.4600000000000004E-2</v>
      </c>
      <c r="E8" s="7">
        <v>9.5000000000000001E-2</v>
      </c>
      <c r="F8" s="7">
        <v>9.69E-2</v>
      </c>
      <c r="G8" s="8">
        <v>8.4400000000000003E-2</v>
      </c>
      <c r="H8" s="137"/>
      <c r="I8" s="6" t="s">
        <v>35</v>
      </c>
      <c r="J8" s="7">
        <v>0.19400000000000001</v>
      </c>
      <c r="K8" s="7">
        <v>0.16700000000000001</v>
      </c>
      <c r="L8" s="7">
        <v>0.16700000000000001</v>
      </c>
      <c r="M8" s="7">
        <v>0.16400000000000001</v>
      </c>
      <c r="N8" s="8">
        <v>0.15</v>
      </c>
      <c r="P8" s="6" t="s">
        <v>35</v>
      </c>
      <c r="Q8" s="7">
        <v>0.32</v>
      </c>
      <c r="R8" s="7">
        <v>0.29699999999999999</v>
      </c>
      <c r="S8" s="7">
        <v>0.28999999999999998</v>
      </c>
      <c r="T8" s="7">
        <v>0.28499999999999998</v>
      </c>
      <c r="U8" s="8">
        <v>0.27100000000000002</v>
      </c>
    </row>
    <row r="9" spans="1:21" x14ac:dyDescent="0.25">
      <c r="B9" s="6" t="s">
        <v>36</v>
      </c>
      <c r="C9" s="7">
        <v>9.8299999999999998E-2</v>
      </c>
      <c r="D9" s="7">
        <v>4.2599999999999999E-2</v>
      </c>
      <c r="E9" s="7">
        <v>6.5500000000000003E-2</v>
      </c>
      <c r="F9" s="7">
        <v>8.4900000000000003E-2</v>
      </c>
      <c r="G9" s="8">
        <v>2.8299999999999999E-2</v>
      </c>
      <c r="H9" s="137"/>
      <c r="I9" s="6" t="s">
        <v>36</v>
      </c>
      <c r="J9" s="7">
        <v>0.17699999999999999</v>
      </c>
      <c r="K9" s="7">
        <v>7.9799999999999996E-2</v>
      </c>
      <c r="L9" s="7">
        <v>0.122</v>
      </c>
      <c r="M9" s="7">
        <v>0.159</v>
      </c>
      <c r="N9" s="8">
        <v>5.21E-2</v>
      </c>
      <c r="P9" s="6" t="s">
        <v>36</v>
      </c>
      <c r="Q9" s="7">
        <v>0.33300000000000002</v>
      </c>
      <c r="R9" s="7">
        <v>0.14799999999999999</v>
      </c>
      <c r="S9" s="7">
        <v>0.222</v>
      </c>
      <c r="T9" s="7">
        <v>0.28799999999999998</v>
      </c>
      <c r="U9" s="8">
        <v>9.8599999999999993E-2</v>
      </c>
    </row>
    <row r="10" spans="1:21" x14ac:dyDescent="0.25">
      <c r="B10" s="6" t="s">
        <v>37</v>
      </c>
      <c r="C10" s="7">
        <v>0.9</v>
      </c>
      <c r="D10" s="7">
        <v>0.9</v>
      </c>
      <c r="E10" s="7">
        <v>0.9</v>
      </c>
      <c r="F10" s="7">
        <v>0.9</v>
      </c>
      <c r="G10" s="8">
        <v>0.9</v>
      </c>
      <c r="H10" s="137"/>
      <c r="I10" s="6" t="s">
        <v>37</v>
      </c>
      <c r="J10" s="7">
        <v>0.9</v>
      </c>
      <c r="K10" s="7">
        <v>0.9</v>
      </c>
      <c r="L10" s="7">
        <v>0.9</v>
      </c>
      <c r="M10" s="7">
        <v>0.9</v>
      </c>
      <c r="N10" s="8">
        <v>0.9</v>
      </c>
      <c r="P10" s="6" t="s">
        <v>37</v>
      </c>
      <c r="Q10" s="7">
        <v>0.9</v>
      </c>
      <c r="R10" s="7">
        <v>0.9</v>
      </c>
      <c r="S10" s="7">
        <v>0.9</v>
      </c>
      <c r="T10" s="7">
        <v>0.9</v>
      </c>
      <c r="U10" s="8">
        <v>0.9</v>
      </c>
    </row>
    <row r="11" spans="1:21" ht="15.75" thickBot="1" x14ac:dyDescent="0.3">
      <c r="B11" s="9" t="s">
        <v>38</v>
      </c>
      <c r="C11" s="10">
        <v>0.17899999999999999</v>
      </c>
      <c r="D11" s="10">
        <v>0.153</v>
      </c>
      <c r="E11" s="10">
        <v>0.16</v>
      </c>
      <c r="F11" s="10">
        <v>0.17100000000000001</v>
      </c>
      <c r="G11" s="11">
        <v>0.10299999999999999</v>
      </c>
      <c r="H11" s="137"/>
      <c r="I11" s="9" t="s">
        <v>38</v>
      </c>
      <c r="J11" s="10">
        <v>0.28399999999999997</v>
      </c>
      <c r="K11" s="10">
        <v>0.27</v>
      </c>
      <c r="L11" s="10">
        <v>0.28299999999999997</v>
      </c>
      <c r="M11" s="10">
        <v>0.28299999999999997</v>
      </c>
      <c r="N11" s="11">
        <v>0.184</v>
      </c>
      <c r="P11" s="9" t="s">
        <v>38</v>
      </c>
      <c r="Q11" s="10">
        <v>0.59199999999999997</v>
      </c>
      <c r="R11" s="10">
        <v>0.47199999999999998</v>
      </c>
      <c r="S11" s="10">
        <v>0.502</v>
      </c>
      <c r="T11" s="10">
        <v>0.51800000000000002</v>
      </c>
      <c r="U11" s="11">
        <v>0.33100000000000002</v>
      </c>
    </row>
    <row r="12" spans="1:21" ht="15.75" x14ac:dyDescent="0.25">
      <c r="B12" s="91"/>
      <c r="C12" s="239" t="s">
        <v>104</v>
      </c>
      <c r="D12" s="240"/>
      <c r="E12" s="240"/>
      <c r="F12" s="240"/>
      <c r="G12" s="241"/>
      <c r="H12" s="138"/>
      <c r="I12" s="139"/>
      <c r="J12" s="242" t="s">
        <v>105</v>
      </c>
      <c r="K12" s="243"/>
      <c r="L12" s="243"/>
      <c r="M12" s="243"/>
      <c r="N12" s="244"/>
      <c r="O12" s="1"/>
      <c r="P12" s="139"/>
      <c r="Q12" s="245" t="s">
        <v>106</v>
      </c>
      <c r="R12" s="246"/>
      <c r="S12" s="246"/>
      <c r="T12" s="246"/>
      <c r="U12" s="247"/>
    </row>
    <row r="13" spans="1:21" ht="15.75" thickBot="1" x14ac:dyDescent="0.3">
      <c r="B13" s="42"/>
      <c r="C13" s="14" t="s">
        <v>107</v>
      </c>
      <c r="D13" s="14" t="s">
        <v>108</v>
      </c>
      <c r="E13" s="14" t="s">
        <v>109</v>
      </c>
      <c r="F13" s="14" t="s">
        <v>110</v>
      </c>
      <c r="G13" s="15" t="s">
        <v>111</v>
      </c>
      <c r="H13" s="90"/>
      <c r="I13" s="42"/>
      <c r="J13" s="122" t="s">
        <v>107</v>
      </c>
      <c r="K13" s="122" t="s">
        <v>108</v>
      </c>
      <c r="L13" s="122" t="s">
        <v>109</v>
      </c>
      <c r="M13" s="122" t="s">
        <v>110</v>
      </c>
      <c r="N13" s="140" t="s">
        <v>111</v>
      </c>
      <c r="P13" s="42"/>
      <c r="Q13" s="50" t="s">
        <v>107</v>
      </c>
      <c r="R13" s="50" t="s">
        <v>108</v>
      </c>
      <c r="S13" s="50" t="s">
        <v>109</v>
      </c>
      <c r="T13" s="50" t="s">
        <v>110</v>
      </c>
      <c r="U13" s="141" t="s">
        <v>111</v>
      </c>
    </row>
    <row r="14" spans="1:21" x14ac:dyDescent="0.25">
      <c r="B14" s="229" t="s">
        <v>35</v>
      </c>
      <c r="C14" s="46">
        <f>$B$2*$B$3*$F$2</f>
        <v>3.0479166666666662E-8</v>
      </c>
      <c r="D14" s="46">
        <f>$B$2*$B$3*$F$2</f>
        <v>3.0479166666666662E-8</v>
      </c>
      <c r="E14" s="46">
        <f>$B$2*$B$3*$F$2</f>
        <v>3.0479166666666662E-8</v>
      </c>
      <c r="F14" s="46">
        <f>$B$2*$B$3*$F$2</f>
        <v>3.0479166666666662E-8</v>
      </c>
      <c r="G14" s="110">
        <f>$B$2*$B$3*$F$2</f>
        <v>3.0479166666666662E-8</v>
      </c>
      <c r="H14" s="142"/>
      <c r="I14" s="229" t="s">
        <v>35</v>
      </c>
      <c r="J14" s="46">
        <f>$B$2*$B$3*$F$2</f>
        <v>3.0479166666666662E-8</v>
      </c>
      <c r="K14" s="46">
        <f>$B$2*$B$3*$F$2</f>
        <v>3.0479166666666662E-8</v>
      </c>
      <c r="L14" s="46">
        <f>$B$2*$B$3*$F$2</f>
        <v>3.0479166666666662E-8</v>
      </c>
      <c r="M14" s="46">
        <f>$B$2*$B$3*$F$2</f>
        <v>3.0479166666666662E-8</v>
      </c>
      <c r="N14" s="143">
        <f>$B$2*$B$3*$F$2</f>
        <v>3.0479166666666662E-8</v>
      </c>
      <c r="P14" s="229" t="s">
        <v>35</v>
      </c>
      <c r="Q14" s="46">
        <f>$B$2*$B$3*$F$2</f>
        <v>3.0479166666666662E-8</v>
      </c>
      <c r="R14" s="46">
        <f>$B$2*$B$3*$F$2</f>
        <v>3.0479166666666662E-8</v>
      </c>
      <c r="S14" s="46">
        <f>$B$2*$B$3*$F$2</f>
        <v>3.0479166666666662E-8</v>
      </c>
      <c r="T14" s="46">
        <f>$B$2*$B$3*$F$2</f>
        <v>3.0479166666666662E-8</v>
      </c>
      <c r="U14" s="143">
        <f>$B$2*$B$3*$F$2</f>
        <v>3.0479166666666662E-8</v>
      </c>
    </row>
    <row r="15" spans="1:21" x14ac:dyDescent="0.25">
      <c r="B15" s="230"/>
      <c r="C15" s="7">
        <f>$G$2*H$2*$B$4*(1/365)*$B$5*$B$6*(1/24)*$M$2*C$8</f>
        <v>5.8435357611903739E-10</v>
      </c>
      <c r="D15" s="7">
        <f>$G$2*I$2*$B$4*(1/365)*$B$5*$B$6*(1/24)*$M$2*D$8</f>
        <v>2.5500130584031316E-10</v>
      </c>
      <c r="E15" s="7">
        <f>$G$2*J$2*$B$4*(1/365)*$B$5*$B$6*(1/24)*$M$2*E$8</f>
        <v>4.787573923879397E-10</v>
      </c>
      <c r="F15" s="7">
        <f>$G$2*K$2*$B$4*(1/365)*$B$5*$B$6*(1/24)*$M$2*F$8</f>
        <v>5.242950141290252E-10</v>
      </c>
      <c r="G15" s="8">
        <f>$G$2*L$2*$B$4*(1/365)*$B$5*$B$6*(1/24)*$M$2*G$8</f>
        <v>3.0828772633946864E-10</v>
      </c>
      <c r="H15" s="142"/>
      <c r="I15" s="230"/>
      <c r="J15" s="7">
        <f>$G$2*H$2*$B$4*(1/365)*$B$5*$B$6*(1/24)*$M$2*J$8</f>
        <v>1.0496721645101227E-9</v>
      </c>
      <c r="K15" s="7">
        <f>$G$2*I$2*$B$4*(1/365)*$B$5*$B$6*(1/24)*$M$2*K$8</f>
        <v>4.5016086760393551E-10</v>
      </c>
      <c r="L15" s="7">
        <f>$G$2*J$2*$B$4*(1/365)*$B$5*$B$6*(1/24)*$M$2*L$8</f>
        <v>8.4160510030300974E-10</v>
      </c>
      <c r="M15" s="7">
        <f>$G$2*K$2*$B$4*(1/365)*$B$5*$B$6*(1/24)*$M$2*M$8</f>
        <v>8.8735172669927907E-10</v>
      </c>
      <c r="N15" s="144">
        <f>$G$2*L$2*$B$4*(1/365)*$B$5*$B$6*(1/24)*$M$2*N$8</f>
        <v>5.4790472690663849E-10</v>
      </c>
      <c r="P15" s="230"/>
      <c r="Q15" s="7">
        <f>$G$2*H$2*$B$4*(1/365)*$B$5*$B$6*(1/24)*$M$2*Q$8</f>
        <v>1.7314180033156664E-9</v>
      </c>
      <c r="R15" s="7">
        <f>$G$2*I$2*$B$4*(1/365)*$B$5*$B$6*(1/24)*$M$2*R$8</f>
        <v>8.005854950800529E-10</v>
      </c>
      <c r="S15" s="7">
        <f>$G$2*J$2*$B$4*(1/365)*$B$5*$B$6*(1/24)*$M$2*S$8</f>
        <v>1.4614699346579208E-9</v>
      </c>
      <c r="T15" s="7">
        <f>$G$2*K$2*$B$4*(1/365)*$B$5*$B$6*(1/24)*$M$2*T$8</f>
        <v>1.5420441592030153E-9</v>
      </c>
      <c r="U15" s="144">
        <f>$G$2*L$2*$B$4*(1/365)*$B$5*$B$6*(1/24)*$M$2*U$8</f>
        <v>9.8988120661132694E-10</v>
      </c>
    </row>
    <row r="16" spans="1:21" ht="15.75" thickBot="1" x14ac:dyDescent="0.3">
      <c r="B16" s="231"/>
      <c r="C16" s="111">
        <f>C14/C15</f>
        <v>52.158774947683078</v>
      </c>
      <c r="D16" s="111">
        <f t="shared" ref="D16:G16" si="2">D14/D15</f>
        <v>119.52553170748591</v>
      </c>
      <c r="E16" s="111">
        <f t="shared" si="2"/>
        <v>63.663072677881971</v>
      </c>
      <c r="F16" s="111">
        <f t="shared" si="2"/>
        <v>58.133619136736556</v>
      </c>
      <c r="G16" s="112">
        <f t="shared" si="2"/>
        <v>98.86597507000576</v>
      </c>
      <c r="H16" s="145"/>
      <c r="I16" s="231"/>
      <c r="J16" s="111">
        <f>J14/J15</f>
        <v>29.036843785308104</v>
      </c>
      <c r="K16" s="111">
        <f t="shared" ref="K16:N16" si="3">K14/K15</f>
        <v>67.707277242683631</v>
      </c>
      <c r="L16" s="111">
        <f t="shared" si="3"/>
        <v>36.215520385621481</v>
      </c>
      <c r="M16" s="111">
        <f t="shared" si="3"/>
        <v>34.348461550913242</v>
      </c>
      <c r="N16" s="146">
        <f t="shared" si="3"/>
        <v>55.62858863938991</v>
      </c>
      <c r="P16" s="231"/>
      <c r="Q16" s="111">
        <f>Q14/Q15</f>
        <v>17.603586544843036</v>
      </c>
      <c r="R16" s="111">
        <f t="shared" ref="R16:U16" si="4">R14/R15</f>
        <v>38.071095284606628</v>
      </c>
      <c r="S16" s="111">
        <f t="shared" si="4"/>
        <v>20.855144497926858</v>
      </c>
      <c r="T16" s="111">
        <f t="shared" si="4"/>
        <v>19.765430506490429</v>
      </c>
      <c r="U16" s="146">
        <f t="shared" si="4"/>
        <v>30.790731719219508</v>
      </c>
    </row>
    <row r="17" spans="2:21" x14ac:dyDescent="0.25">
      <c r="B17" s="229" t="s">
        <v>36</v>
      </c>
      <c r="C17" s="147">
        <f>$B$2*$B$3*$F$3</f>
        <v>2.4984819734345347E-6</v>
      </c>
      <c r="D17" s="46">
        <f>$B$2*$B$3*$F$3</f>
        <v>2.4984819734345347E-6</v>
      </c>
      <c r="E17" s="46">
        <f>$B$2*$B$3*$F$3</f>
        <v>2.4984819734345347E-6</v>
      </c>
      <c r="F17" s="46">
        <f>$B$2*$B$3*$F$3</f>
        <v>2.4984819734345347E-6</v>
      </c>
      <c r="G17" s="110">
        <f>$B$2*$B$3*$F$3</f>
        <v>2.4984819734345347E-6</v>
      </c>
      <c r="H17" s="142"/>
      <c r="I17" s="229" t="s">
        <v>36</v>
      </c>
      <c r="J17" s="147">
        <f>$B$2*$B$3*$F$3</f>
        <v>2.4984819734345347E-6</v>
      </c>
      <c r="K17" s="46">
        <f>$B$2*$B$3*$F$3</f>
        <v>2.4984819734345347E-6</v>
      </c>
      <c r="L17" s="46">
        <f>$B$2*$B$3*$F$3</f>
        <v>2.4984819734345347E-6</v>
      </c>
      <c r="M17" s="46">
        <f>$B$2*$B$3*$F$3</f>
        <v>2.4984819734345347E-6</v>
      </c>
      <c r="N17" s="110">
        <f>$B$2*$B$3*$F$3</f>
        <v>2.4984819734345347E-6</v>
      </c>
      <c r="P17" s="229" t="s">
        <v>36</v>
      </c>
      <c r="Q17" s="147">
        <f>$B$2*$B$3*$F$3</f>
        <v>2.4984819734345347E-6</v>
      </c>
      <c r="R17" s="46">
        <f>$B$2*$B$3*$F$3</f>
        <v>2.4984819734345347E-6</v>
      </c>
      <c r="S17" s="46">
        <f>$B$2*$B$3*$F$3</f>
        <v>2.4984819734345347E-6</v>
      </c>
      <c r="T17" s="46">
        <f>$B$2*$B$3*$F$3</f>
        <v>2.4984819734345347E-6</v>
      </c>
      <c r="U17" s="110">
        <f>$B$2*$B$3*$F$3</f>
        <v>2.4984819734345347E-6</v>
      </c>
    </row>
    <row r="18" spans="2:21" x14ac:dyDescent="0.25">
      <c r="B18" s="230"/>
      <c r="C18" s="148">
        <f>$G$3*H$3*$B$4*(1/365)*$B$5*$B$6*(1/24)*$M$3*C$9</f>
        <v>7.2792966049375171E-6</v>
      </c>
      <c r="D18" s="7">
        <f>$G$3*I$3*$B$4*(1/365)*$B$5*$B$6*(1/24)*$M$3*D$9</f>
        <v>5.7495287626502502E-7</v>
      </c>
      <c r="E18" s="7">
        <f>$G$3*J$3*$B$4*(1/365)*$B$5*$B$6*(1/24)*$M$3*E$9</f>
        <v>2.5386346850292989E-6</v>
      </c>
      <c r="F18" s="7">
        <f>$G$3*K$3*$B$4*(1/365)*$B$5*$B$6*(1/24)*$M$3*F$9</f>
        <v>5.2729692927309642E-6</v>
      </c>
      <c r="G18" s="8">
        <f>$G$3*L$3*$B$4*(1/365)*$B$5*$B$6*(1/24)*$M$3*G$9</f>
        <v>3.7012188304746199E-7</v>
      </c>
      <c r="H18" s="142"/>
      <c r="I18" s="230"/>
      <c r="J18" s="148">
        <f>$G$3*H$3*$B$4*(1/365)*$B$5*$B$6*(1/24)*$M$3*J$9</f>
        <v>1.3107176999734898E-5</v>
      </c>
      <c r="K18" s="7">
        <f>$G$3*I$3*$B$4*(1/365)*$B$5*$B$6*(1/24)*$M$3*K$9</f>
        <v>1.0770244020175819E-6</v>
      </c>
      <c r="L18" s="7">
        <f>$G$3*J$3*$B$4*(1/365)*$B$5*$B$6*(1/24)*$M$3*L$9</f>
        <v>4.7284493370011368E-6</v>
      </c>
      <c r="M18" s="7">
        <f>$G$3*K$3*$B$4*(1/365)*$B$5*$B$6*(1/24)*$M$3*M$9</f>
        <v>9.8751721736657625E-6</v>
      </c>
      <c r="N18" s="8">
        <f>$G$3*L$3*$B$4*(1/365)*$B$5*$B$6*(1/24)*$M$3*N$9</f>
        <v>6.8139046313684704E-7</v>
      </c>
      <c r="P18" s="230"/>
      <c r="Q18" s="148">
        <f>$G$3*H$3*$B$4*(1/365)*$B$5*$B$6*(1/24)*$M$3*Q$9</f>
        <v>2.4659265202891083E-5</v>
      </c>
      <c r="R18" s="7">
        <f>$G$3*I$3*$B$4*(1/365)*$B$5*$B$6*(1/24)*$M$3*R$9</f>
        <v>1.9974888658972697E-6</v>
      </c>
      <c r="S18" s="7">
        <f>$G$3*J$3*$B$4*(1/365)*$B$5*$B$6*(1/24)*$M$3*S$9</f>
        <v>8.6042274820840351E-6</v>
      </c>
      <c r="T18" s="7">
        <f>$G$3*K$3*$B$4*(1/365)*$B$5*$B$6*(1/24)*$M$3*T$9</f>
        <v>1.7887104314564399E-5</v>
      </c>
      <c r="U18" s="8">
        <f>$G$3*L$3*$B$4*(1/365)*$B$5*$B$6*(1/24)*$M$3*U$9</f>
        <v>1.2895412603703093E-6</v>
      </c>
    </row>
    <row r="19" spans="2:21" ht="15.75" thickBot="1" x14ac:dyDescent="0.3">
      <c r="B19" s="231"/>
      <c r="C19" s="149">
        <f>C17/C18</f>
        <v>0.34323123634498209</v>
      </c>
      <c r="D19" s="111">
        <f t="shared" ref="D19:G19" si="5">D17/D18</f>
        <v>4.3455421767172053</v>
      </c>
      <c r="E19" s="111">
        <f t="shared" si="5"/>
        <v>0.9841833439716432</v>
      </c>
      <c r="F19" s="111">
        <f t="shared" si="5"/>
        <v>0.47382828056268211</v>
      </c>
      <c r="G19" s="112">
        <f t="shared" si="5"/>
        <v>6.7504302984272506</v>
      </c>
      <c r="H19" s="145"/>
      <c r="I19" s="231"/>
      <c r="J19" s="149">
        <f>J17/J18</f>
        <v>0.19061938154074429</v>
      </c>
      <c r="K19" s="111">
        <f t="shared" ref="K19:N19" si="6">K17/K18</f>
        <v>2.3198007108791101</v>
      </c>
      <c r="L19" s="111">
        <f t="shared" si="6"/>
        <v>0.52839351664051337</v>
      </c>
      <c r="M19" s="111">
        <f t="shared" si="6"/>
        <v>0.25300642150799818</v>
      </c>
      <c r="N19" s="112">
        <f t="shared" si="6"/>
        <v>3.6667404500094274</v>
      </c>
      <c r="P19" s="231"/>
      <c r="Q19" s="149">
        <f>Q17/Q18</f>
        <v>0.10132021180994516</v>
      </c>
      <c r="R19" s="111">
        <f t="shared" ref="R19:U19" si="7">R17/R18</f>
        <v>1.2508114643794119</v>
      </c>
      <c r="S19" s="111">
        <f t="shared" si="7"/>
        <v>0.29037841905469658</v>
      </c>
      <c r="T19" s="111">
        <f t="shared" si="7"/>
        <v>0.13968062854087401</v>
      </c>
      <c r="U19" s="112">
        <f t="shared" si="7"/>
        <v>1.9374967286560971</v>
      </c>
    </row>
    <row r="20" spans="2:21" x14ac:dyDescent="0.25">
      <c r="B20" s="229" t="s">
        <v>37</v>
      </c>
      <c r="C20" s="113"/>
      <c r="D20" s="113"/>
      <c r="E20" s="113"/>
      <c r="F20" s="113"/>
      <c r="G20" s="114"/>
      <c r="H20" s="142"/>
      <c r="I20" s="229" t="s">
        <v>37</v>
      </c>
      <c r="J20" s="113"/>
      <c r="K20" s="113"/>
      <c r="L20" s="113"/>
      <c r="M20" s="113"/>
      <c r="N20" s="114"/>
      <c r="P20" s="229" t="s">
        <v>37</v>
      </c>
      <c r="Q20" s="113"/>
      <c r="R20" s="113"/>
      <c r="S20" s="113"/>
      <c r="T20" s="113"/>
      <c r="U20" s="114"/>
    </row>
    <row r="21" spans="2:21" x14ac:dyDescent="0.25">
      <c r="B21" s="230"/>
      <c r="C21" s="74"/>
      <c r="D21" s="74"/>
      <c r="E21" s="74"/>
      <c r="F21" s="74"/>
      <c r="G21" s="115"/>
      <c r="H21" s="142"/>
      <c r="I21" s="230"/>
      <c r="J21" s="74"/>
      <c r="K21" s="74"/>
      <c r="L21" s="74"/>
      <c r="M21" s="74"/>
      <c r="N21" s="115"/>
      <c r="P21" s="230"/>
      <c r="Q21" s="74"/>
      <c r="R21" s="74"/>
      <c r="S21" s="74"/>
      <c r="T21" s="74"/>
      <c r="U21" s="115"/>
    </row>
    <row r="22" spans="2:21" ht="15.75" thickBot="1" x14ac:dyDescent="0.3">
      <c r="B22" s="231"/>
      <c r="C22" s="116"/>
      <c r="D22" s="116"/>
      <c r="E22" s="116"/>
      <c r="F22" s="116"/>
      <c r="G22" s="117"/>
      <c r="H22" s="145"/>
      <c r="I22" s="231"/>
      <c r="J22" s="116"/>
      <c r="K22" s="116"/>
      <c r="L22" s="116"/>
      <c r="M22" s="116"/>
      <c r="N22" s="117"/>
      <c r="P22" s="231"/>
      <c r="Q22" s="116"/>
      <c r="R22" s="116"/>
      <c r="S22" s="116"/>
      <c r="T22" s="116"/>
      <c r="U22" s="117"/>
    </row>
    <row r="23" spans="2:21" x14ac:dyDescent="0.25">
      <c r="B23" s="229" t="s">
        <v>38</v>
      </c>
      <c r="C23" s="46">
        <f>$B$2*$B$3*$F$5</f>
        <v>1.5013683010262255E-7</v>
      </c>
      <c r="D23" s="46">
        <f>$B$2*$B$3*$F$5</f>
        <v>1.5013683010262255E-7</v>
      </c>
      <c r="E23" s="46">
        <f>$B$2*$B$3*$F$5</f>
        <v>1.5013683010262255E-7</v>
      </c>
      <c r="F23" s="46">
        <f>$B$2*$B$3*$F$5</f>
        <v>1.5013683010262255E-7</v>
      </c>
      <c r="G23" s="110">
        <f>$B$2*$B$3*$F$5</f>
        <v>1.5013683010262255E-7</v>
      </c>
      <c r="H23" s="142"/>
      <c r="I23" s="229" t="s">
        <v>38</v>
      </c>
      <c r="J23" s="46">
        <f>$B$2*$B$3*$F$5</f>
        <v>1.5013683010262255E-7</v>
      </c>
      <c r="K23" s="46">
        <f>$B$2*$B$3*$F$5</f>
        <v>1.5013683010262255E-7</v>
      </c>
      <c r="L23" s="46">
        <f>$B$2*$B$3*$F$5</f>
        <v>1.5013683010262255E-7</v>
      </c>
      <c r="M23" s="46">
        <f>$B$2*$B$3*$F$5</f>
        <v>1.5013683010262255E-7</v>
      </c>
      <c r="N23" s="110">
        <f>$B$2*$B$3*$F$5</f>
        <v>1.5013683010262255E-7</v>
      </c>
      <c r="P23" s="229" t="s">
        <v>38</v>
      </c>
      <c r="Q23" s="46">
        <f>$B$2*$B$3*$F$5</f>
        <v>1.5013683010262255E-7</v>
      </c>
      <c r="R23" s="46">
        <f>$B$2*$B$3*$F$5</f>
        <v>1.5013683010262255E-7</v>
      </c>
      <c r="S23" s="46">
        <f>$B$2*$B$3*$F$5</f>
        <v>1.5013683010262255E-7</v>
      </c>
      <c r="T23" s="46">
        <f>$B$2*$B$3*$F$5</f>
        <v>1.5013683010262255E-7</v>
      </c>
      <c r="U23" s="110">
        <f>$B$2*$B$3*$F$5</f>
        <v>1.5013683010262255E-7</v>
      </c>
    </row>
    <row r="24" spans="2:21" x14ac:dyDescent="0.25">
      <c r="B24" s="230"/>
      <c r="C24" s="7">
        <f>$G$5*H$5*$B$4*(1/365)*$B$5*$B$6*(1/24)*$M$5*C$11</f>
        <v>1.1236295093451021E-11</v>
      </c>
      <c r="D24" s="7">
        <f>$G$5*I$5*$B$4*(1/365)*$B$5*$B$6*(1/24)*$M$5*D$11</f>
        <v>6.6757569736521218E-12</v>
      </c>
      <c r="E24" s="7">
        <f>$G$5*J$5*$B$4*(1/365)*$B$5*$B$6*(1/24)*$M$5*E$11</f>
        <v>9.1437542014068461E-12</v>
      </c>
      <c r="F24" s="7">
        <f>$G$5*K$5*$B$4*(1/365)*$B$5*$B$6*(1/24)*$M$5*F$11</f>
        <v>1.0656555677764604E-11</v>
      </c>
      <c r="G24" s="8">
        <f>$G$5*L$5*$B$4*(1/365)*$B$5*$B$6*(1/24)*$M$5*G$11</f>
        <v>3.4383418576401291E-11</v>
      </c>
      <c r="H24" s="142"/>
      <c r="I24" s="230"/>
      <c r="J24" s="7">
        <f>$G$5*H$5*$B$4*(1/365)*$B$5*$B$6*(1/24)*$M$5*J$11</f>
        <v>1.7827417913631785E-11</v>
      </c>
      <c r="K24" s="7">
        <f>$G$5*I$5*$B$4*(1/365)*$B$5*$B$6*(1/24)*$M$5*K$11</f>
        <v>1.1780747600562569E-11</v>
      </c>
      <c r="L24" s="7">
        <f>$G$5*J$5*$B$4*(1/365)*$B$5*$B$6*(1/24)*$M$5*L$11</f>
        <v>1.6173015243738357E-11</v>
      </c>
      <c r="M24" s="7">
        <f>$G$5*K$5*$B$4*(1/365)*$B$5*$B$6*(1/24)*$M$5*M$11</f>
        <v>1.763628805150516E-11</v>
      </c>
      <c r="N24" s="8">
        <f>$G$5*L$5*$B$4*(1/365)*$B$5*$B$6*(1/24)*$M$5*N$11</f>
        <v>6.1422806000561537E-11</v>
      </c>
      <c r="P24" s="230"/>
      <c r="Q24" s="7">
        <f>$G$5*H$5*$B$4*(1/365)*$B$5*$B$6*(1/24)*$M$5*Q$11</f>
        <v>3.7161378186162036E-11</v>
      </c>
      <c r="R24" s="7">
        <f>$G$5*I$5*$B$4*(1/365)*$B$5*$B$6*(1/24)*$M$5*R$11</f>
        <v>2.0594492101724192E-11</v>
      </c>
      <c r="S24" s="7">
        <f>$G$5*J$5*$B$4*(1/365)*$B$5*$B$6*(1/24)*$M$5*S$11</f>
        <v>2.868852880691398E-11</v>
      </c>
      <c r="T24" s="7">
        <f>$G$5*K$5*$B$4*(1/365)*$B$5*$B$6*(1/24)*$M$5*T$11</f>
        <v>3.2281262228550083E-11</v>
      </c>
      <c r="U24" s="7">
        <f>$G$5*L$5*$B$4*(1/365)*$B$5*$B$6*(1/24)*$M$5*U$11</f>
        <v>1.1049428688144494E-10</v>
      </c>
    </row>
    <row r="25" spans="2:21" ht="15.75" thickBot="1" x14ac:dyDescent="0.3">
      <c r="B25" s="231"/>
      <c r="C25" s="111">
        <f>C23/C24</f>
        <v>13361.773507544183</v>
      </c>
      <c r="D25" s="111">
        <f t="shared" ref="D25:G25" si="8">D23/D24</f>
        <v>22489.858557641121</v>
      </c>
      <c r="E25" s="111">
        <f t="shared" si="8"/>
        <v>16419.604770163518</v>
      </c>
      <c r="F25" s="111">
        <f t="shared" si="8"/>
        <v>14088.682557713275</v>
      </c>
      <c r="G25" s="112">
        <f t="shared" si="8"/>
        <v>4366.5474905880192</v>
      </c>
      <c r="H25" s="145"/>
      <c r="I25" s="231"/>
      <c r="J25" s="111">
        <f>J23/J24</f>
        <v>8421.6811896141171</v>
      </c>
      <c r="K25" s="111">
        <f t="shared" ref="K25:N25" si="9">K23/K24</f>
        <v>12744.2531826633</v>
      </c>
      <c r="L25" s="111">
        <f t="shared" si="9"/>
        <v>9283.1687746507523</v>
      </c>
      <c r="M25" s="111">
        <f t="shared" si="9"/>
        <v>8512.949531339118</v>
      </c>
      <c r="N25" s="112">
        <f t="shared" si="9"/>
        <v>2444.3173452748151</v>
      </c>
      <c r="P25" s="231"/>
      <c r="Q25" s="111">
        <f>Q23/Q24</f>
        <v>4040.1308409635285</v>
      </c>
      <c r="R25" s="111">
        <f t="shared" ref="R25:U25" si="10">R23/R24</f>
        <v>7290.1448290658718</v>
      </c>
      <c r="S25" s="111">
        <f t="shared" si="10"/>
        <v>5233.3401657891691</v>
      </c>
      <c r="T25" s="111">
        <f t="shared" si="10"/>
        <v>4650.8971377779353</v>
      </c>
      <c r="U25" s="112">
        <f t="shared" si="10"/>
        <v>1358.7745967690814</v>
      </c>
    </row>
    <row r="26" spans="2:21" ht="15.75" thickBot="1" x14ac:dyDescent="0.3">
      <c r="B26" s="150"/>
      <c r="C26" s="94"/>
      <c r="D26" s="99" t="s">
        <v>47</v>
      </c>
      <c r="E26" s="99" t="s">
        <v>48</v>
      </c>
      <c r="F26" s="151" t="s">
        <v>49</v>
      </c>
      <c r="H26" s="152"/>
      <c r="I26" s="150"/>
      <c r="J26" s="94"/>
      <c r="K26" s="153" t="s">
        <v>47</v>
      </c>
      <c r="L26" s="153" t="s">
        <v>48</v>
      </c>
      <c r="M26" s="154" t="s">
        <v>49</v>
      </c>
      <c r="P26" s="150"/>
      <c r="Q26" s="94"/>
      <c r="R26" s="155" t="s">
        <v>47</v>
      </c>
      <c r="S26" s="155" t="s">
        <v>48</v>
      </c>
      <c r="T26" s="51" t="s">
        <v>49</v>
      </c>
    </row>
    <row r="27" spans="2:21" x14ac:dyDescent="0.25">
      <c r="B27" s="203" t="s">
        <v>35</v>
      </c>
      <c r="C27" s="156" t="s">
        <v>107</v>
      </c>
      <c r="D27" s="46">
        <v>52.2</v>
      </c>
      <c r="E27" s="46">
        <v>52.4</v>
      </c>
      <c r="F27" s="56">
        <f>(D27-E27)/((1/2)*(D27+E27))</f>
        <v>-3.8240917782025956E-3</v>
      </c>
      <c r="I27" s="203" t="s">
        <v>35</v>
      </c>
      <c r="J27" s="156" t="s">
        <v>107</v>
      </c>
      <c r="K27" s="46">
        <v>29</v>
      </c>
      <c r="L27" s="46">
        <v>29.1</v>
      </c>
      <c r="M27" s="56">
        <f>(K27-L27)/((1/2)*(K27+L27))</f>
        <v>-3.4423407917384308E-3</v>
      </c>
      <c r="P27" s="203" t="s">
        <v>35</v>
      </c>
      <c r="Q27" s="156" t="s">
        <v>107</v>
      </c>
      <c r="R27" s="46">
        <v>17.600000000000001</v>
      </c>
      <c r="S27" s="46">
        <v>17.600000000000001</v>
      </c>
      <c r="T27" s="56">
        <f>(R27-S27)/((1/2)*(R27+S27))</f>
        <v>0</v>
      </c>
    </row>
    <row r="28" spans="2:21" x14ac:dyDescent="0.25">
      <c r="B28" s="204"/>
      <c r="C28" s="157" t="s">
        <v>108</v>
      </c>
      <c r="D28" s="7">
        <v>120</v>
      </c>
      <c r="E28" s="7">
        <v>120</v>
      </c>
      <c r="F28" s="58">
        <f t="shared" ref="F28:F46" si="11">(D28-E28)/((1/2)*(D28+E28))</f>
        <v>0</v>
      </c>
      <c r="I28" s="204"/>
      <c r="J28" s="157" t="s">
        <v>108</v>
      </c>
      <c r="K28" s="7">
        <v>67.7</v>
      </c>
      <c r="L28" s="7">
        <v>67.900000000000006</v>
      </c>
      <c r="M28" s="58">
        <f t="shared" ref="M28:M36" si="12">(K28-L28)/((1/2)*(K28+L28))</f>
        <v>-2.9498525073746729E-3</v>
      </c>
      <c r="P28" s="204"/>
      <c r="Q28" s="157" t="s">
        <v>108</v>
      </c>
      <c r="R28" s="7">
        <v>38.1</v>
      </c>
      <c r="S28" s="7">
        <v>38.200000000000003</v>
      </c>
      <c r="T28" s="58">
        <f t="shared" ref="T28:T36" si="13">(R28-S28)/((1/2)*(R28+S28))</f>
        <v>-2.6212319790301811E-3</v>
      </c>
    </row>
    <row r="29" spans="2:21" x14ac:dyDescent="0.25">
      <c r="B29" s="204"/>
      <c r="C29" s="157" t="s">
        <v>109</v>
      </c>
      <c r="D29" s="7">
        <v>63.7</v>
      </c>
      <c r="E29" s="7">
        <v>63.7</v>
      </c>
      <c r="F29" s="58">
        <f t="shared" si="11"/>
        <v>0</v>
      </c>
      <c r="I29" s="204"/>
      <c r="J29" s="157" t="s">
        <v>109</v>
      </c>
      <c r="K29" s="7">
        <v>36.200000000000003</v>
      </c>
      <c r="L29" s="7">
        <v>36.299999999999997</v>
      </c>
      <c r="M29" s="58">
        <f t="shared" si="12"/>
        <v>-2.7586206896550156E-3</v>
      </c>
      <c r="P29" s="204"/>
      <c r="Q29" s="157" t="s">
        <v>109</v>
      </c>
      <c r="R29" s="7">
        <v>20.9</v>
      </c>
      <c r="S29" s="7">
        <v>20.9</v>
      </c>
      <c r="T29" s="58">
        <f t="shared" si="13"/>
        <v>0</v>
      </c>
    </row>
    <row r="30" spans="2:21" x14ac:dyDescent="0.25">
      <c r="B30" s="204"/>
      <c r="C30" s="157" t="s">
        <v>110</v>
      </c>
      <c r="D30" s="7">
        <v>58.1</v>
      </c>
      <c r="E30" s="7">
        <v>58.2</v>
      </c>
      <c r="F30" s="58">
        <f t="shared" si="11"/>
        <v>-1.7196904557179951E-3</v>
      </c>
      <c r="I30" s="204"/>
      <c r="J30" s="157" t="s">
        <v>110</v>
      </c>
      <c r="K30" s="7">
        <v>34.299999999999997</v>
      </c>
      <c r="L30" s="7">
        <v>34.4</v>
      </c>
      <c r="M30" s="58">
        <f t="shared" si="12"/>
        <v>-2.9112081513828656E-3</v>
      </c>
      <c r="P30" s="204"/>
      <c r="Q30" s="157" t="s">
        <v>110</v>
      </c>
      <c r="R30" s="7">
        <v>19.8</v>
      </c>
      <c r="S30" s="7">
        <v>19.8</v>
      </c>
      <c r="T30" s="58">
        <f t="shared" si="13"/>
        <v>0</v>
      </c>
    </row>
    <row r="31" spans="2:21" ht="15.75" thickBot="1" x14ac:dyDescent="0.3">
      <c r="B31" s="205"/>
      <c r="C31" s="158" t="s">
        <v>111</v>
      </c>
      <c r="D31" s="10">
        <v>98.9</v>
      </c>
      <c r="E31" s="10">
        <v>99</v>
      </c>
      <c r="F31" s="69">
        <f t="shared" si="11"/>
        <v>-1.0106114199089876E-3</v>
      </c>
      <c r="I31" s="205"/>
      <c r="J31" s="159" t="s">
        <v>111</v>
      </c>
      <c r="K31" s="160">
        <v>55.6</v>
      </c>
      <c r="L31" s="160">
        <v>55.6</v>
      </c>
      <c r="M31" s="161">
        <f t="shared" si="12"/>
        <v>0</v>
      </c>
      <c r="P31" s="205"/>
      <c r="Q31" s="159" t="s">
        <v>111</v>
      </c>
      <c r="R31" s="160">
        <v>30.8</v>
      </c>
      <c r="S31" s="160">
        <v>30.8</v>
      </c>
      <c r="T31" s="161">
        <f t="shared" si="13"/>
        <v>0</v>
      </c>
    </row>
    <row r="32" spans="2:21" x14ac:dyDescent="0.25">
      <c r="B32" s="203" t="s">
        <v>36</v>
      </c>
      <c r="C32" s="162" t="s">
        <v>107</v>
      </c>
      <c r="D32" s="147">
        <v>0.34300000000000003</v>
      </c>
      <c r="E32" s="147">
        <v>0.34399999999999997</v>
      </c>
      <c r="F32" s="163">
        <f t="shared" si="11"/>
        <v>-2.9112081513826644E-3</v>
      </c>
      <c r="I32" s="203" t="s">
        <v>36</v>
      </c>
      <c r="J32" s="162" t="s">
        <v>107</v>
      </c>
      <c r="K32" s="147">
        <v>0.191</v>
      </c>
      <c r="L32" s="147">
        <v>0.191</v>
      </c>
      <c r="M32" s="163">
        <f t="shared" si="12"/>
        <v>0</v>
      </c>
      <c r="P32" s="203" t="s">
        <v>36</v>
      </c>
      <c r="Q32" s="162" t="s">
        <v>107</v>
      </c>
      <c r="R32" s="147">
        <v>0.10100000000000001</v>
      </c>
      <c r="S32" s="147">
        <v>0.10100000000000001</v>
      </c>
      <c r="T32" s="163">
        <f t="shared" si="13"/>
        <v>0</v>
      </c>
    </row>
    <row r="33" spans="2:20" x14ac:dyDescent="0.25">
      <c r="B33" s="204"/>
      <c r="C33" s="157" t="s">
        <v>108</v>
      </c>
      <c r="D33" s="7">
        <v>4.3499999999999996</v>
      </c>
      <c r="E33" s="7">
        <v>4.34</v>
      </c>
      <c r="F33" s="58">
        <f t="shared" si="11"/>
        <v>2.3014959723819993E-3</v>
      </c>
      <c r="I33" s="204"/>
      <c r="J33" s="157" t="s">
        <v>108</v>
      </c>
      <c r="K33" s="7">
        <v>2.3199999999999998</v>
      </c>
      <c r="L33" s="7">
        <v>2.3199999999999998</v>
      </c>
      <c r="M33" s="58">
        <f t="shared" si="12"/>
        <v>0</v>
      </c>
      <c r="P33" s="204"/>
      <c r="Q33" s="157" t="s">
        <v>108</v>
      </c>
      <c r="R33" s="7">
        <v>1.25</v>
      </c>
      <c r="S33" s="7">
        <v>1.25</v>
      </c>
      <c r="T33" s="58">
        <f t="shared" si="13"/>
        <v>0</v>
      </c>
    </row>
    <row r="34" spans="2:20" x14ac:dyDescent="0.25">
      <c r="B34" s="204"/>
      <c r="C34" s="157" t="s">
        <v>109</v>
      </c>
      <c r="D34" s="7">
        <v>0.98399999999999999</v>
      </c>
      <c r="E34" s="7">
        <v>0.98399999999999999</v>
      </c>
      <c r="F34" s="58">
        <f t="shared" si="11"/>
        <v>0</v>
      </c>
      <c r="I34" s="204"/>
      <c r="J34" s="157" t="s">
        <v>109</v>
      </c>
      <c r="K34" s="7">
        <v>0.52800000000000002</v>
      </c>
      <c r="L34" s="7">
        <v>0.53</v>
      </c>
      <c r="M34" s="58">
        <f t="shared" si="12"/>
        <v>-3.7807183364839351E-3</v>
      </c>
      <c r="P34" s="204"/>
      <c r="Q34" s="157" t="s">
        <v>109</v>
      </c>
      <c r="R34" s="7">
        <v>0.28999999999999998</v>
      </c>
      <c r="S34" s="7">
        <v>0.29099999999999998</v>
      </c>
      <c r="T34" s="58">
        <f t="shared" si="13"/>
        <v>-3.4423407917383853E-3</v>
      </c>
    </row>
    <row r="35" spans="2:20" x14ac:dyDescent="0.25">
      <c r="B35" s="204"/>
      <c r="C35" s="157" t="s">
        <v>110</v>
      </c>
      <c r="D35" s="7">
        <v>0.47399999999999998</v>
      </c>
      <c r="E35" s="7">
        <v>0.47299999999999998</v>
      </c>
      <c r="F35" s="58">
        <f t="shared" si="11"/>
        <v>2.1119324181626208E-3</v>
      </c>
      <c r="I35" s="204"/>
      <c r="J35" s="157" t="s">
        <v>110</v>
      </c>
      <c r="K35" s="7">
        <v>0.253</v>
      </c>
      <c r="L35" s="7">
        <v>0.253</v>
      </c>
      <c r="M35" s="58">
        <f t="shared" si="12"/>
        <v>0</v>
      </c>
      <c r="P35" s="204"/>
      <c r="Q35" s="157" t="s">
        <v>110</v>
      </c>
      <c r="R35" s="7">
        <v>0.14000000000000001</v>
      </c>
      <c r="S35" s="7">
        <v>0.13900000000000001</v>
      </c>
      <c r="T35" s="58">
        <f t="shared" si="13"/>
        <v>7.1684587813620132E-3</v>
      </c>
    </row>
    <row r="36" spans="2:20" ht="15.75" thickBot="1" x14ac:dyDescent="0.3">
      <c r="B36" s="205"/>
      <c r="C36" s="158" t="s">
        <v>111</v>
      </c>
      <c r="D36" s="10">
        <v>6.75</v>
      </c>
      <c r="E36" s="10">
        <v>6.76</v>
      </c>
      <c r="F36" s="69">
        <f t="shared" si="11"/>
        <v>-1.4803849000739877E-3</v>
      </c>
      <c r="I36" s="205"/>
      <c r="J36" s="158" t="s">
        <v>111</v>
      </c>
      <c r="K36" s="10">
        <v>3.67</v>
      </c>
      <c r="L36" s="10">
        <v>3.67</v>
      </c>
      <c r="M36" s="69">
        <f t="shared" si="12"/>
        <v>0</v>
      </c>
      <c r="P36" s="205"/>
      <c r="Q36" s="158" t="s">
        <v>111</v>
      </c>
      <c r="R36" s="10">
        <v>1.94</v>
      </c>
      <c r="S36" s="10">
        <v>1.94</v>
      </c>
      <c r="T36" s="69">
        <f t="shared" si="13"/>
        <v>0</v>
      </c>
    </row>
    <row r="37" spans="2:20" x14ac:dyDescent="0.25">
      <c r="B37" s="203" t="s">
        <v>37</v>
      </c>
      <c r="C37" s="156" t="s">
        <v>107</v>
      </c>
      <c r="D37" s="164"/>
      <c r="E37" s="164"/>
      <c r="F37" s="165"/>
      <c r="I37" s="203" t="s">
        <v>37</v>
      </c>
      <c r="J37" s="156" t="s">
        <v>107</v>
      </c>
      <c r="K37" s="164"/>
      <c r="L37" s="164"/>
      <c r="M37" s="165"/>
      <c r="P37" s="203" t="s">
        <v>37</v>
      </c>
      <c r="Q37" s="156" t="s">
        <v>107</v>
      </c>
      <c r="R37" s="164"/>
      <c r="S37" s="164"/>
      <c r="T37" s="165"/>
    </row>
    <row r="38" spans="2:20" x14ac:dyDescent="0.25">
      <c r="B38" s="204"/>
      <c r="C38" s="157" t="s">
        <v>108</v>
      </c>
      <c r="D38" s="166"/>
      <c r="E38" s="166"/>
      <c r="F38" s="167"/>
      <c r="I38" s="204"/>
      <c r="J38" s="157" t="s">
        <v>108</v>
      </c>
      <c r="K38" s="166"/>
      <c r="L38" s="166"/>
      <c r="M38" s="167"/>
      <c r="P38" s="204"/>
      <c r="Q38" s="157" t="s">
        <v>108</v>
      </c>
      <c r="R38" s="166"/>
      <c r="S38" s="166"/>
      <c r="T38" s="167"/>
    </row>
    <row r="39" spans="2:20" x14ac:dyDescent="0.25">
      <c r="B39" s="204"/>
      <c r="C39" s="157" t="s">
        <v>109</v>
      </c>
      <c r="D39" s="166"/>
      <c r="E39" s="166"/>
      <c r="F39" s="167"/>
      <c r="I39" s="204"/>
      <c r="J39" s="157" t="s">
        <v>109</v>
      </c>
      <c r="K39" s="166"/>
      <c r="L39" s="166"/>
      <c r="M39" s="167"/>
      <c r="P39" s="204"/>
      <c r="Q39" s="157" t="s">
        <v>109</v>
      </c>
      <c r="R39" s="166"/>
      <c r="S39" s="166"/>
      <c r="T39" s="167"/>
    </row>
    <row r="40" spans="2:20" x14ac:dyDescent="0.25">
      <c r="B40" s="204"/>
      <c r="C40" s="157" t="s">
        <v>110</v>
      </c>
      <c r="D40" s="166"/>
      <c r="E40" s="166"/>
      <c r="F40" s="167"/>
      <c r="I40" s="204"/>
      <c r="J40" s="157" t="s">
        <v>110</v>
      </c>
      <c r="K40" s="166"/>
      <c r="L40" s="166"/>
      <c r="M40" s="167"/>
      <c r="P40" s="204"/>
      <c r="Q40" s="157" t="s">
        <v>110</v>
      </c>
      <c r="R40" s="166"/>
      <c r="S40" s="166"/>
      <c r="T40" s="167"/>
    </row>
    <row r="41" spans="2:20" ht="15.75" thickBot="1" x14ac:dyDescent="0.3">
      <c r="B41" s="205"/>
      <c r="C41" s="158" t="s">
        <v>111</v>
      </c>
      <c r="D41" s="168"/>
      <c r="E41" s="168"/>
      <c r="F41" s="169"/>
      <c r="I41" s="205"/>
      <c r="J41" s="158" t="s">
        <v>111</v>
      </c>
      <c r="K41" s="168"/>
      <c r="L41" s="168"/>
      <c r="M41" s="169"/>
      <c r="P41" s="205"/>
      <c r="Q41" s="158" t="s">
        <v>111</v>
      </c>
      <c r="R41" s="168"/>
      <c r="S41" s="168"/>
      <c r="T41" s="169"/>
    </row>
    <row r="42" spans="2:20" x14ac:dyDescent="0.25">
      <c r="B42" s="203" t="s">
        <v>38</v>
      </c>
      <c r="C42" s="156" t="s">
        <v>107</v>
      </c>
      <c r="D42" s="46">
        <v>13400</v>
      </c>
      <c r="E42" s="46">
        <v>13400</v>
      </c>
      <c r="F42" s="56">
        <f t="shared" si="11"/>
        <v>0</v>
      </c>
      <c r="I42" s="203" t="s">
        <v>38</v>
      </c>
      <c r="J42" s="156" t="s">
        <v>107</v>
      </c>
      <c r="K42" s="46">
        <v>8420</v>
      </c>
      <c r="L42" s="46">
        <v>8430</v>
      </c>
      <c r="M42" s="56">
        <f t="shared" ref="M42:M46" si="14">(K42-L42)/((1/2)*(K42+L42))</f>
        <v>-1.1869436201780415E-3</v>
      </c>
      <c r="P42" s="203" t="s">
        <v>38</v>
      </c>
      <c r="Q42" s="156" t="s">
        <v>107</v>
      </c>
      <c r="R42" s="46">
        <v>4040</v>
      </c>
      <c r="S42" s="46">
        <v>4040</v>
      </c>
      <c r="T42" s="56">
        <f t="shared" ref="T42:T46" si="15">(R42-S42)/((1/2)*(R42+S42))</f>
        <v>0</v>
      </c>
    </row>
    <row r="43" spans="2:20" x14ac:dyDescent="0.25">
      <c r="B43" s="204"/>
      <c r="C43" s="157" t="s">
        <v>108</v>
      </c>
      <c r="D43" s="7">
        <v>22500</v>
      </c>
      <c r="E43" s="7">
        <v>22500</v>
      </c>
      <c r="F43" s="58">
        <f t="shared" si="11"/>
        <v>0</v>
      </c>
      <c r="I43" s="204"/>
      <c r="J43" s="157" t="s">
        <v>108</v>
      </c>
      <c r="K43" s="7">
        <v>12700</v>
      </c>
      <c r="L43" s="7">
        <v>12800</v>
      </c>
      <c r="M43" s="58">
        <f t="shared" si="14"/>
        <v>-7.8431372549019607E-3</v>
      </c>
      <c r="P43" s="204"/>
      <c r="Q43" s="157" t="s">
        <v>108</v>
      </c>
      <c r="R43" s="7">
        <v>7290</v>
      </c>
      <c r="S43" s="7">
        <v>7310</v>
      </c>
      <c r="T43" s="58">
        <f t="shared" si="15"/>
        <v>-2.7397260273972603E-3</v>
      </c>
    </row>
    <row r="44" spans="2:20" x14ac:dyDescent="0.25">
      <c r="B44" s="204"/>
      <c r="C44" s="157" t="s">
        <v>109</v>
      </c>
      <c r="D44" s="7">
        <v>16400</v>
      </c>
      <c r="E44" s="7">
        <v>16400</v>
      </c>
      <c r="F44" s="58">
        <f t="shared" si="11"/>
        <v>0</v>
      </c>
      <c r="I44" s="204"/>
      <c r="J44" s="157" t="s">
        <v>109</v>
      </c>
      <c r="K44" s="7">
        <v>9280</v>
      </c>
      <c r="L44" s="7">
        <v>9300</v>
      </c>
      <c r="M44" s="58">
        <f t="shared" si="14"/>
        <v>-2.1528525296017221E-3</v>
      </c>
      <c r="P44" s="204"/>
      <c r="Q44" s="157" t="s">
        <v>109</v>
      </c>
      <c r="R44" s="7">
        <v>5230</v>
      </c>
      <c r="S44" s="7">
        <v>5230</v>
      </c>
      <c r="T44" s="58">
        <f t="shared" si="15"/>
        <v>0</v>
      </c>
    </row>
    <row r="45" spans="2:20" x14ac:dyDescent="0.25">
      <c r="B45" s="204"/>
      <c r="C45" s="157" t="s">
        <v>110</v>
      </c>
      <c r="D45" s="7">
        <v>14100</v>
      </c>
      <c r="E45" s="7">
        <v>14100</v>
      </c>
      <c r="F45" s="58">
        <f t="shared" si="11"/>
        <v>0</v>
      </c>
      <c r="I45" s="204"/>
      <c r="J45" s="157" t="s">
        <v>110</v>
      </c>
      <c r="K45" s="7">
        <v>8510</v>
      </c>
      <c r="L45" s="7">
        <v>8520</v>
      </c>
      <c r="M45" s="58">
        <f t="shared" si="14"/>
        <v>-1.1743981209630064E-3</v>
      </c>
      <c r="P45" s="204"/>
      <c r="Q45" s="157" t="s">
        <v>110</v>
      </c>
      <c r="R45" s="7">
        <v>4650</v>
      </c>
      <c r="S45" s="7">
        <v>4660</v>
      </c>
      <c r="T45" s="58">
        <f t="shared" si="15"/>
        <v>-2.1482277121374865E-3</v>
      </c>
    </row>
    <row r="46" spans="2:20" ht="15.75" thickBot="1" x14ac:dyDescent="0.3">
      <c r="B46" s="205"/>
      <c r="C46" s="158" t="s">
        <v>111</v>
      </c>
      <c r="D46" s="10">
        <v>4370</v>
      </c>
      <c r="E46" s="10">
        <v>4360</v>
      </c>
      <c r="F46" s="69">
        <f t="shared" si="11"/>
        <v>2.2909507445589921E-3</v>
      </c>
      <c r="I46" s="205"/>
      <c r="J46" s="158" t="s">
        <v>111</v>
      </c>
      <c r="K46" s="10">
        <v>2440</v>
      </c>
      <c r="L46" s="10">
        <v>2440</v>
      </c>
      <c r="M46" s="69">
        <f t="shared" si="14"/>
        <v>0</v>
      </c>
      <c r="P46" s="205"/>
      <c r="Q46" s="158" t="s">
        <v>111</v>
      </c>
      <c r="R46" s="10">
        <v>1360</v>
      </c>
      <c r="S46" s="10">
        <v>1360</v>
      </c>
      <c r="T46" s="69">
        <f t="shared" si="15"/>
        <v>0</v>
      </c>
    </row>
  </sheetData>
  <mergeCells count="27">
    <mergeCell ref="C12:G12"/>
    <mergeCell ref="J12:N12"/>
    <mergeCell ref="Q12:U12"/>
    <mergeCell ref="B14:B16"/>
    <mergeCell ref="I14:I16"/>
    <mergeCell ref="P14:P16"/>
    <mergeCell ref="B17:B19"/>
    <mergeCell ref="I17:I19"/>
    <mergeCell ref="P17:P19"/>
    <mergeCell ref="B20:B22"/>
    <mergeCell ref="I20:I22"/>
    <mergeCell ref="P20:P22"/>
    <mergeCell ref="B23:B25"/>
    <mergeCell ref="I23:I25"/>
    <mergeCell ref="P23:P25"/>
    <mergeCell ref="B27:B31"/>
    <mergeCell ref="I27:I31"/>
    <mergeCell ref="P27:P31"/>
    <mergeCell ref="B42:B46"/>
    <mergeCell ref="I42:I46"/>
    <mergeCell ref="P42:P46"/>
    <mergeCell ref="B32:B36"/>
    <mergeCell ref="I32:I36"/>
    <mergeCell ref="P32:P36"/>
    <mergeCell ref="B37:B41"/>
    <mergeCell ref="I37:I41"/>
    <mergeCell ref="P37:P41"/>
  </mergeCells>
  <conditionalFormatting sqref="F27:F46">
    <cfRule type="cellIs" dxfId="5" priority="5" operator="lessThan">
      <formula>-0.01</formula>
    </cfRule>
    <cfRule type="cellIs" dxfId="4" priority="6" operator="notEqual">
      <formula>0</formula>
    </cfRule>
  </conditionalFormatting>
  <conditionalFormatting sqref="M27:M46">
    <cfRule type="cellIs" dxfId="3" priority="3" operator="lessThan">
      <formula>-0.01</formula>
    </cfRule>
    <cfRule type="cellIs" dxfId="2" priority="4" operator="notEqual">
      <formula>0</formula>
    </cfRule>
  </conditionalFormatting>
  <conditionalFormatting sqref="T27:T46">
    <cfRule type="cellIs" dxfId="1" priority="1" operator="lessThan">
      <formula>-0.01</formula>
    </cfRule>
    <cfRule type="cellIs" dxfId="0" priority="2" operator="notEqual">
      <formula>0</formula>
    </cfRule>
  </conditionalFormatting>
  <pageMargins left="0.7" right="0.7" top="0.75" bottom="0.75" header="0.3" footer="0.3"/>
  <pageSetup scale="5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Normal="100" workbookViewId="0">
      <selection activeCell="W43" sqref="W43"/>
    </sheetView>
  </sheetViews>
  <sheetFormatPr defaultRowHeight="15" x14ac:dyDescent="0.25"/>
  <cols>
    <col min="2" max="2" width="12.85546875" bestFit="1" customWidth="1"/>
    <col min="3" max="3" width="11.7109375" bestFit="1" customWidth="1"/>
    <col min="4" max="4" width="10.28515625" bestFit="1" customWidth="1"/>
    <col min="6" max="6" width="10.28515625" bestFit="1" customWidth="1"/>
    <col min="15" max="15" width="12.7109375" bestFit="1" customWidth="1"/>
    <col min="16" max="16" width="8.28515625" bestFit="1" customWidth="1"/>
    <col min="17" max="17" width="12.42578125" bestFit="1" customWidth="1"/>
    <col min="18" max="18" width="11.7109375" bestFit="1" customWidth="1"/>
  </cols>
  <sheetData>
    <row r="1" spans="1:29" x14ac:dyDescent="0.25">
      <c r="A1" s="257" t="s">
        <v>112</v>
      </c>
      <c r="B1" s="258"/>
      <c r="C1" s="258"/>
      <c r="D1" s="258"/>
      <c r="E1" s="258"/>
      <c r="F1" s="258"/>
      <c r="G1" s="258"/>
      <c r="H1" s="258"/>
      <c r="I1" s="259"/>
      <c r="K1" s="254" t="s">
        <v>42</v>
      </c>
      <c r="L1" s="255"/>
      <c r="M1" s="256"/>
    </row>
    <row r="2" spans="1:29" x14ac:dyDescent="0.25">
      <c r="A2" s="171"/>
      <c r="B2" s="172" t="s">
        <v>113</v>
      </c>
      <c r="C2" s="172" t="s">
        <v>114</v>
      </c>
      <c r="D2" s="172" t="s">
        <v>115</v>
      </c>
      <c r="E2" s="172" t="s">
        <v>116</v>
      </c>
      <c r="F2" s="172" t="s">
        <v>117</v>
      </c>
      <c r="G2" s="172" t="s">
        <v>118</v>
      </c>
      <c r="H2" s="172" t="s">
        <v>91</v>
      </c>
      <c r="I2" s="173" t="s">
        <v>32</v>
      </c>
      <c r="K2" s="191"/>
      <c r="L2" s="192" t="s">
        <v>139</v>
      </c>
      <c r="M2" s="193" t="s">
        <v>30</v>
      </c>
    </row>
    <row r="3" spans="1:29" x14ac:dyDescent="0.25">
      <c r="A3" s="174" t="s">
        <v>35</v>
      </c>
      <c r="B3" s="175" t="s">
        <v>119</v>
      </c>
      <c r="C3" s="176">
        <v>1.8699999999999999E-8</v>
      </c>
      <c r="D3" s="176">
        <v>2.77E-8</v>
      </c>
      <c r="E3" s="176">
        <v>1.3799999999999999E-8</v>
      </c>
      <c r="F3" s="176">
        <v>2.5799999999999999E-8</v>
      </c>
      <c r="G3" s="176">
        <v>2.77E-8</v>
      </c>
      <c r="H3" s="176">
        <v>1.3199999999999999E-13</v>
      </c>
      <c r="I3" s="177">
        <f>0.0000581/(10^6)</f>
        <v>5.8100000000000005E-11</v>
      </c>
      <c r="K3" s="174" t="s">
        <v>35</v>
      </c>
      <c r="L3" s="175" t="s">
        <v>140</v>
      </c>
      <c r="M3" s="194">
        <v>3.77E-8</v>
      </c>
    </row>
    <row r="4" spans="1:29" x14ac:dyDescent="0.25">
      <c r="A4" s="174" t="s">
        <v>36</v>
      </c>
      <c r="B4" s="175" t="s">
        <v>119</v>
      </c>
      <c r="C4" s="176">
        <v>2.1900000000000002E-6</v>
      </c>
      <c r="D4" s="176">
        <v>1.24E-5</v>
      </c>
      <c r="E4" s="176">
        <v>2.26E-6</v>
      </c>
      <c r="F4" s="176">
        <v>6.4899999999999997E-6</v>
      </c>
      <c r="G4" s="176">
        <v>1.04E-5</v>
      </c>
      <c r="H4" s="176">
        <v>2.4400000000000001E-11</v>
      </c>
      <c r="I4" s="177">
        <f>0.0113/(10^6)</f>
        <v>1.1299999999999999E-8</v>
      </c>
      <c r="K4" s="174" t="s">
        <v>35</v>
      </c>
      <c r="L4" s="175" t="s">
        <v>119</v>
      </c>
      <c r="M4" s="194">
        <v>2.81E-8</v>
      </c>
    </row>
    <row r="5" spans="1:29" x14ac:dyDescent="0.25">
      <c r="A5" s="174" t="s">
        <v>37</v>
      </c>
      <c r="B5" s="175" t="s">
        <v>18</v>
      </c>
      <c r="C5" s="176">
        <v>0</v>
      </c>
      <c r="D5" s="176">
        <v>0</v>
      </c>
      <c r="E5" s="176">
        <v>0</v>
      </c>
      <c r="F5" s="176">
        <v>0</v>
      </c>
      <c r="G5" s="176">
        <v>0</v>
      </c>
      <c r="H5" s="176">
        <v>0</v>
      </c>
      <c r="I5" s="177">
        <v>0</v>
      </c>
      <c r="K5" s="174" t="s">
        <v>35</v>
      </c>
      <c r="L5" s="175" t="s">
        <v>141</v>
      </c>
      <c r="M5" s="195">
        <v>3.5399999999999999E-8</v>
      </c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</row>
    <row r="6" spans="1:29" x14ac:dyDescent="0.25">
      <c r="A6" s="174" t="s">
        <v>37</v>
      </c>
      <c r="B6" s="175" t="s">
        <v>119</v>
      </c>
      <c r="C6" s="176">
        <v>0</v>
      </c>
      <c r="D6" s="176">
        <v>0</v>
      </c>
      <c r="E6" s="176">
        <v>0</v>
      </c>
      <c r="F6" s="176">
        <v>0</v>
      </c>
      <c r="G6" s="176">
        <v>0</v>
      </c>
      <c r="H6" s="176">
        <v>0</v>
      </c>
      <c r="I6" s="177">
        <v>0</v>
      </c>
      <c r="K6" s="174" t="s">
        <v>36</v>
      </c>
      <c r="L6" s="175" t="s">
        <v>140</v>
      </c>
      <c r="M6" s="195">
        <v>1.7100000000000001E-11</v>
      </c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</row>
    <row r="7" spans="1:29" ht="15.75" thickBot="1" x14ac:dyDescent="0.3">
      <c r="A7" s="181" t="s">
        <v>38</v>
      </c>
      <c r="B7" s="182" t="s">
        <v>119</v>
      </c>
      <c r="C7" s="183">
        <v>3.6800000000000002E-10</v>
      </c>
      <c r="D7" s="183">
        <v>6.9200000000000004E-11</v>
      </c>
      <c r="E7" s="183">
        <v>4.8100000000000001E-11</v>
      </c>
      <c r="F7" s="183">
        <v>6.3000000000000002E-11</v>
      </c>
      <c r="G7" s="183">
        <v>6.8700000000000006E-11</v>
      </c>
      <c r="H7" s="183">
        <v>5.9600000000000002E-16</v>
      </c>
      <c r="I7" s="184">
        <f>0.000000256/(10^6)</f>
        <v>2.5600000000000002E-13</v>
      </c>
      <c r="K7" s="174" t="s">
        <v>36</v>
      </c>
      <c r="L7" s="175" t="s">
        <v>119</v>
      </c>
      <c r="M7" s="177">
        <v>3.59E-11</v>
      </c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</row>
    <row r="8" spans="1:29" ht="15.75" thickBot="1" x14ac:dyDescent="0.3">
      <c r="K8" s="174" t="s">
        <v>36</v>
      </c>
      <c r="L8" s="175" t="s">
        <v>141</v>
      </c>
      <c r="M8" s="177">
        <v>1.01E-10</v>
      </c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</row>
    <row r="9" spans="1:29" x14ac:dyDescent="0.25">
      <c r="A9" s="260" t="s">
        <v>41</v>
      </c>
      <c r="B9" s="261"/>
      <c r="C9" s="261"/>
      <c r="D9" s="261"/>
      <c r="E9" s="261"/>
      <c r="F9" s="262"/>
      <c r="K9" s="196" t="s">
        <v>37</v>
      </c>
      <c r="L9" s="175" t="s">
        <v>140</v>
      </c>
      <c r="M9" s="177">
        <v>1.9499999999999999E-14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</row>
    <row r="10" spans="1:29" x14ac:dyDescent="0.25">
      <c r="A10" s="185"/>
      <c r="B10" s="186" t="s">
        <v>113</v>
      </c>
      <c r="C10" s="186" t="s">
        <v>94</v>
      </c>
      <c r="D10" s="186" t="s">
        <v>70</v>
      </c>
      <c r="E10" s="186" t="s">
        <v>29</v>
      </c>
      <c r="F10" s="187" t="s">
        <v>138</v>
      </c>
      <c r="K10" s="196" t="s">
        <v>37</v>
      </c>
      <c r="L10" s="175" t="s">
        <v>119</v>
      </c>
      <c r="M10" s="177">
        <v>1.9900000000000001E-13</v>
      </c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</row>
    <row r="11" spans="1:29" x14ac:dyDescent="0.25">
      <c r="A11" s="174" t="s">
        <v>35</v>
      </c>
      <c r="B11" s="175" t="s">
        <v>119</v>
      </c>
      <c r="C11" s="176">
        <v>1.04E-10</v>
      </c>
      <c r="D11" s="176">
        <v>1.34E-10</v>
      </c>
      <c r="E11" s="176">
        <v>1.8400000000000001E-10</v>
      </c>
      <c r="F11" s="177">
        <v>9.0999999999999996E-11</v>
      </c>
      <c r="K11" s="196" t="s">
        <v>37</v>
      </c>
      <c r="L11" s="175" t="s">
        <v>141</v>
      </c>
      <c r="M11" s="177">
        <v>8.4700000000000003E-13</v>
      </c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</row>
    <row r="12" spans="1:29" x14ac:dyDescent="0.25">
      <c r="A12" s="174" t="s">
        <v>36</v>
      </c>
      <c r="B12" s="175" t="s">
        <v>119</v>
      </c>
      <c r="C12" s="176">
        <v>1.58E-11</v>
      </c>
      <c r="D12" s="176">
        <v>2.23E-11</v>
      </c>
      <c r="E12" s="176">
        <v>3.8100000000000003E-11</v>
      </c>
      <c r="F12" s="177">
        <v>7.3300000000000005E-12</v>
      </c>
      <c r="K12" s="196" t="s">
        <v>37</v>
      </c>
      <c r="L12" s="175" t="s">
        <v>18</v>
      </c>
      <c r="M12" s="177">
        <v>5.6200000000000003E-14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</row>
    <row r="13" spans="1:29" x14ac:dyDescent="0.25">
      <c r="A13" s="174" t="s">
        <v>37</v>
      </c>
      <c r="B13" s="175" t="s">
        <v>18</v>
      </c>
      <c r="C13" s="176">
        <v>5.0700000000000001E-14</v>
      </c>
      <c r="D13" s="176">
        <v>6.5099999999999995E-14</v>
      </c>
      <c r="E13" s="176">
        <v>8.9900000000000001E-14</v>
      </c>
      <c r="F13" s="177">
        <v>4.5099999999999998E-14</v>
      </c>
      <c r="K13" s="196" t="s">
        <v>37</v>
      </c>
      <c r="L13" s="175" t="s">
        <v>142</v>
      </c>
      <c r="M13" s="177">
        <v>5.6200000000000001E-18</v>
      </c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</row>
    <row r="14" spans="1:29" x14ac:dyDescent="0.25">
      <c r="A14" s="174" t="s">
        <v>37</v>
      </c>
      <c r="B14" s="175" t="s">
        <v>119</v>
      </c>
      <c r="C14" s="176">
        <v>1.12E-13</v>
      </c>
      <c r="D14" s="176">
        <v>1.4399999999999999E-13</v>
      </c>
      <c r="E14" s="176">
        <v>0</v>
      </c>
      <c r="F14" s="177">
        <v>0</v>
      </c>
      <c r="K14" s="196" t="s">
        <v>37</v>
      </c>
      <c r="L14" s="175" t="s">
        <v>143</v>
      </c>
      <c r="M14" s="177">
        <v>1.2800000000000001E-13</v>
      </c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pans="1:29" ht="15.75" thickBot="1" x14ac:dyDescent="0.3">
      <c r="A15" s="181" t="s">
        <v>38</v>
      </c>
      <c r="B15" s="182" t="s">
        <v>119</v>
      </c>
      <c r="C15" s="183">
        <v>1.3100000000000001E-10</v>
      </c>
      <c r="D15" s="183">
        <v>1.6900000000000001E-10</v>
      </c>
      <c r="E15" s="183">
        <v>2.25E-10</v>
      </c>
      <c r="F15" s="184">
        <v>1.1700000000000001E-10</v>
      </c>
      <c r="K15" s="196" t="s">
        <v>38</v>
      </c>
      <c r="L15" s="175" t="s">
        <v>140</v>
      </c>
      <c r="M15" s="177">
        <v>5.2199999999999998E-8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</row>
    <row r="16" spans="1:29" x14ac:dyDescent="0.25">
      <c r="K16" s="196" t="s">
        <v>38</v>
      </c>
      <c r="L16" s="175" t="s">
        <v>119</v>
      </c>
      <c r="M16" s="177">
        <v>3.3600000000000003E-8</v>
      </c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</row>
    <row r="17" spans="1:29" ht="15.75" thickBot="1" x14ac:dyDescent="0.3">
      <c r="A17" s="202"/>
      <c r="B17" s="202"/>
      <c r="C17" s="202"/>
      <c r="D17" s="201"/>
      <c r="K17" s="197" t="s">
        <v>38</v>
      </c>
      <c r="L17" s="182" t="s">
        <v>141</v>
      </c>
      <c r="M17" s="184">
        <v>3.55E-8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 x14ac:dyDescent="0.25">
      <c r="A18" s="201"/>
      <c r="B18" s="200"/>
      <c r="C18" s="200"/>
      <c r="D18" s="201"/>
    </row>
    <row r="19" spans="1:29" ht="15.75" thickBot="1" x14ac:dyDescent="0.3"/>
    <row r="20" spans="1:29" x14ac:dyDescent="0.25">
      <c r="A20" s="248" t="s">
        <v>120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50"/>
    </row>
    <row r="21" spans="1:29" x14ac:dyDescent="0.25">
      <c r="A21" s="178"/>
      <c r="B21" s="179" t="s">
        <v>121</v>
      </c>
      <c r="C21" s="179" t="s">
        <v>122</v>
      </c>
      <c r="D21" s="179" t="s">
        <v>123</v>
      </c>
      <c r="E21" s="179" t="s">
        <v>124</v>
      </c>
      <c r="F21" s="179" t="s">
        <v>125</v>
      </c>
      <c r="G21" s="179" t="s">
        <v>126</v>
      </c>
      <c r="H21" s="179" t="s">
        <v>127</v>
      </c>
      <c r="I21" s="179" t="s">
        <v>128</v>
      </c>
      <c r="J21" s="179" t="s">
        <v>129</v>
      </c>
      <c r="K21" s="179" t="s">
        <v>130</v>
      </c>
      <c r="L21" s="179" t="s">
        <v>131</v>
      </c>
      <c r="M21" s="179" t="s">
        <v>132</v>
      </c>
      <c r="N21" s="179" t="s">
        <v>133</v>
      </c>
      <c r="O21" s="179" t="s">
        <v>134</v>
      </c>
      <c r="P21" s="179" t="s">
        <v>135</v>
      </c>
      <c r="Q21" s="179" t="s">
        <v>136</v>
      </c>
      <c r="R21" s="180" t="s">
        <v>137</v>
      </c>
    </row>
    <row r="22" spans="1:29" x14ac:dyDescent="0.25">
      <c r="A22" s="174" t="s">
        <v>35</v>
      </c>
      <c r="B22" s="176">
        <v>8.4000000000000005E-2</v>
      </c>
      <c r="C22" s="176">
        <v>0.15</v>
      </c>
      <c r="D22" s="176">
        <v>0.27</v>
      </c>
      <c r="E22" s="176">
        <v>0.39</v>
      </c>
      <c r="F22" s="176">
        <v>0.51</v>
      </c>
      <c r="G22" s="176">
        <v>0.65</v>
      </c>
      <c r="H22" s="176">
        <v>0.74</v>
      </c>
      <c r="I22" s="176">
        <v>0.81</v>
      </c>
      <c r="J22" s="176">
        <v>0.87</v>
      </c>
      <c r="K22" s="176">
        <v>0.91</v>
      </c>
      <c r="L22" s="176">
        <v>0.93</v>
      </c>
      <c r="M22" s="176">
        <v>0.95</v>
      </c>
      <c r="N22" s="176">
        <v>0.98</v>
      </c>
      <c r="O22" s="176">
        <v>0.99</v>
      </c>
      <c r="P22" s="176">
        <v>0.99</v>
      </c>
      <c r="Q22" s="176">
        <v>1</v>
      </c>
      <c r="R22" s="177">
        <v>1</v>
      </c>
    </row>
    <row r="23" spans="1:29" x14ac:dyDescent="0.25">
      <c r="A23" s="174" t="s">
        <v>36</v>
      </c>
      <c r="B23" s="176">
        <v>2.8000000000000001E-2</v>
      </c>
      <c r="C23" s="176">
        <v>5.1999999999999998E-2</v>
      </c>
      <c r="D23" s="176">
        <v>9.8000000000000004E-2</v>
      </c>
      <c r="E23" s="176">
        <v>0.15</v>
      </c>
      <c r="F23" s="176">
        <v>0.21</v>
      </c>
      <c r="G23" s="176">
        <v>0.28999999999999998</v>
      </c>
      <c r="H23" s="176">
        <v>0.37</v>
      </c>
      <c r="I23" s="176">
        <v>0.44</v>
      </c>
      <c r="J23" s="176">
        <v>0.54</v>
      </c>
      <c r="K23" s="176">
        <v>0.59</v>
      </c>
      <c r="L23" s="176">
        <v>0.66</v>
      </c>
      <c r="M23" s="176">
        <v>0.74</v>
      </c>
      <c r="N23" s="176">
        <v>0.81</v>
      </c>
      <c r="O23" s="176">
        <v>0.87</v>
      </c>
      <c r="P23" s="176">
        <v>0.91</v>
      </c>
      <c r="Q23" s="176">
        <v>0.97</v>
      </c>
      <c r="R23" s="177">
        <v>1</v>
      </c>
    </row>
    <row r="24" spans="1:29" x14ac:dyDescent="0.25">
      <c r="A24" s="174" t="s">
        <v>37</v>
      </c>
      <c r="B24" s="176">
        <v>1</v>
      </c>
      <c r="C24" s="176">
        <v>1</v>
      </c>
      <c r="D24" s="176">
        <v>1</v>
      </c>
      <c r="E24" s="176">
        <v>1</v>
      </c>
      <c r="F24" s="176">
        <v>1</v>
      </c>
      <c r="G24" s="176">
        <v>1</v>
      </c>
      <c r="H24" s="176">
        <v>1</v>
      </c>
      <c r="I24" s="176">
        <v>1</v>
      </c>
      <c r="J24" s="176">
        <v>1</v>
      </c>
      <c r="K24" s="176">
        <v>1</v>
      </c>
      <c r="L24" s="176">
        <v>1</v>
      </c>
      <c r="M24" s="176">
        <v>1</v>
      </c>
      <c r="N24" s="176">
        <v>1</v>
      </c>
      <c r="O24" s="176">
        <v>1</v>
      </c>
      <c r="P24" s="176">
        <v>1</v>
      </c>
      <c r="Q24" s="176">
        <v>1</v>
      </c>
      <c r="R24" s="177">
        <v>1</v>
      </c>
    </row>
    <row r="25" spans="1:29" ht="15.75" thickBot="1" x14ac:dyDescent="0.3">
      <c r="A25" s="181" t="s">
        <v>38</v>
      </c>
      <c r="B25" s="183">
        <v>0.1</v>
      </c>
      <c r="C25" s="183">
        <v>0.18</v>
      </c>
      <c r="D25" s="183">
        <v>0.33</v>
      </c>
      <c r="E25" s="183">
        <v>0.47</v>
      </c>
      <c r="F25" s="183">
        <v>0.61</v>
      </c>
      <c r="G25" s="183">
        <v>0.78</v>
      </c>
      <c r="H25" s="183">
        <v>0.87</v>
      </c>
      <c r="I25" s="183">
        <v>0.94</v>
      </c>
      <c r="J25" s="183">
        <v>0.99</v>
      </c>
      <c r="K25" s="183">
        <v>1</v>
      </c>
      <c r="L25" s="183">
        <v>1</v>
      </c>
      <c r="M25" s="183">
        <v>1</v>
      </c>
      <c r="N25" s="183">
        <v>1</v>
      </c>
      <c r="O25" s="183">
        <v>1</v>
      </c>
      <c r="P25" s="183">
        <v>1</v>
      </c>
      <c r="Q25" s="183">
        <v>1</v>
      </c>
      <c r="R25" s="184">
        <v>1</v>
      </c>
    </row>
    <row r="26" spans="1:29" ht="15.75" thickBot="1" x14ac:dyDescent="0.3"/>
    <row r="27" spans="1:29" x14ac:dyDescent="0.25">
      <c r="A27" s="251" t="s">
        <v>115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/>
    </row>
    <row r="28" spans="1:29" x14ac:dyDescent="0.25">
      <c r="A28" s="188"/>
      <c r="B28" s="189" t="s">
        <v>121</v>
      </c>
      <c r="C28" s="189" t="s">
        <v>122</v>
      </c>
      <c r="D28" s="189" t="s">
        <v>123</v>
      </c>
      <c r="E28" s="189" t="s">
        <v>124</v>
      </c>
      <c r="F28" s="189" t="s">
        <v>125</v>
      </c>
      <c r="G28" s="189" t="s">
        <v>126</v>
      </c>
      <c r="H28" s="189" t="s">
        <v>127</v>
      </c>
      <c r="I28" s="189" t="s">
        <v>128</v>
      </c>
      <c r="J28" s="189" t="s">
        <v>129</v>
      </c>
      <c r="K28" s="189" t="s">
        <v>130</v>
      </c>
      <c r="L28" s="189" t="s">
        <v>131</v>
      </c>
      <c r="M28" s="189" t="s">
        <v>132</v>
      </c>
      <c r="N28" s="189" t="s">
        <v>133</v>
      </c>
      <c r="O28" s="189" t="s">
        <v>134</v>
      </c>
      <c r="P28" s="189" t="s">
        <v>135</v>
      </c>
      <c r="Q28" s="189" t="s">
        <v>136</v>
      </c>
      <c r="R28" s="190" t="s">
        <v>137</v>
      </c>
    </row>
    <row r="29" spans="1:29" x14ac:dyDescent="0.25">
      <c r="A29" s="174" t="s">
        <v>35</v>
      </c>
      <c r="B29" s="176">
        <v>0.1</v>
      </c>
      <c r="C29" s="176">
        <v>0.19</v>
      </c>
      <c r="D29" s="176">
        <v>0.32</v>
      </c>
      <c r="E29" s="176">
        <v>0.48</v>
      </c>
      <c r="F29" s="176">
        <v>0.55000000000000004</v>
      </c>
      <c r="G29" s="176">
        <v>0.66</v>
      </c>
      <c r="H29" s="176">
        <v>0.69</v>
      </c>
      <c r="I29" s="176">
        <v>0.75</v>
      </c>
      <c r="J29" s="176">
        <v>0.74</v>
      </c>
      <c r="K29" s="176">
        <v>0.82</v>
      </c>
      <c r="L29" s="176">
        <v>0.87</v>
      </c>
      <c r="M29" s="176">
        <v>0.91</v>
      </c>
      <c r="N29" s="176">
        <v>1.1000000000000001</v>
      </c>
      <c r="O29" s="176">
        <v>0.95</v>
      </c>
      <c r="P29" s="176">
        <v>0.99</v>
      </c>
      <c r="Q29" s="176">
        <v>1</v>
      </c>
      <c r="R29" s="177">
        <v>1</v>
      </c>
    </row>
    <row r="30" spans="1:29" x14ac:dyDescent="0.25">
      <c r="A30" s="174" t="s">
        <v>36</v>
      </c>
      <c r="B30" s="176">
        <v>9.8000000000000004E-2</v>
      </c>
      <c r="C30" s="176">
        <v>0.18</v>
      </c>
      <c r="D30" s="176">
        <v>0.33</v>
      </c>
      <c r="E30" s="176">
        <v>0.49</v>
      </c>
      <c r="F30" s="176">
        <v>0.59</v>
      </c>
      <c r="G30" s="176">
        <v>0.7</v>
      </c>
      <c r="H30" s="176">
        <v>0.74</v>
      </c>
      <c r="I30" s="176">
        <v>0.76</v>
      </c>
      <c r="J30" s="176">
        <v>0.71</v>
      </c>
      <c r="K30" s="176">
        <v>0.93</v>
      </c>
      <c r="L30" s="176">
        <v>0.85</v>
      </c>
      <c r="M30" s="176">
        <v>0.88</v>
      </c>
      <c r="N30" s="176">
        <v>0.92</v>
      </c>
      <c r="O30" s="176">
        <v>0.94</v>
      </c>
      <c r="P30" s="176">
        <v>1</v>
      </c>
      <c r="Q30" s="176">
        <v>0.95</v>
      </c>
      <c r="R30" s="177">
        <v>1</v>
      </c>
    </row>
    <row r="31" spans="1:29" x14ac:dyDescent="0.25">
      <c r="A31" s="174" t="s">
        <v>37</v>
      </c>
      <c r="B31" s="176">
        <v>1</v>
      </c>
      <c r="C31" s="176">
        <v>1</v>
      </c>
      <c r="D31" s="176">
        <v>1</v>
      </c>
      <c r="E31" s="176">
        <v>1</v>
      </c>
      <c r="F31" s="176">
        <v>1</v>
      </c>
      <c r="G31" s="176">
        <v>1</v>
      </c>
      <c r="H31" s="176">
        <v>1</v>
      </c>
      <c r="I31" s="176">
        <v>1</v>
      </c>
      <c r="J31" s="176">
        <v>1</v>
      </c>
      <c r="K31" s="176">
        <v>1</v>
      </c>
      <c r="L31" s="176">
        <v>1</v>
      </c>
      <c r="M31" s="176">
        <v>1</v>
      </c>
      <c r="N31" s="176">
        <v>1</v>
      </c>
      <c r="O31" s="176">
        <v>1</v>
      </c>
      <c r="P31" s="176">
        <v>1</v>
      </c>
      <c r="Q31" s="176">
        <v>1</v>
      </c>
      <c r="R31" s="177">
        <v>1</v>
      </c>
    </row>
    <row r="32" spans="1:29" ht="15.75" thickBot="1" x14ac:dyDescent="0.3">
      <c r="A32" s="181" t="s">
        <v>38</v>
      </c>
      <c r="B32" s="183">
        <v>0.18</v>
      </c>
      <c r="C32" s="183">
        <v>0.28000000000000003</v>
      </c>
      <c r="D32" s="183">
        <v>0.59</v>
      </c>
      <c r="E32" s="183">
        <v>0.82</v>
      </c>
      <c r="F32" s="183">
        <v>0.86</v>
      </c>
      <c r="G32" s="183">
        <v>0.98</v>
      </c>
      <c r="H32" s="183">
        <v>1</v>
      </c>
      <c r="I32" s="183">
        <v>0.94</v>
      </c>
      <c r="J32" s="183">
        <v>0.97</v>
      </c>
      <c r="K32" s="183">
        <v>1</v>
      </c>
      <c r="L32" s="183">
        <v>1</v>
      </c>
      <c r="M32" s="183">
        <v>1</v>
      </c>
      <c r="N32" s="183">
        <v>1.1000000000000001</v>
      </c>
      <c r="O32" s="183">
        <v>1.1000000000000001</v>
      </c>
      <c r="P32" s="183">
        <v>0.99</v>
      </c>
      <c r="Q32" s="183">
        <v>1</v>
      </c>
      <c r="R32" s="184">
        <v>1</v>
      </c>
    </row>
  </sheetData>
  <mergeCells count="5">
    <mergeCell ref="A20:R20"/>
    <mergeCell ref="A27:R27"/>
    <mergeCell ref="K1:M1"/>
    <mergeCell ref="A1:I1"/>
    <mergeCell ref="A9:F9"/>
  </mergeCells>
  <pageMargins left="0.7" right="0.7" top="0.75" bottom="0.75" header="0.3" footer="0.3"/>
  <pageSetup scale="6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Soil &amp; Air</vt:lpstr>
      <vt:lpstr>Consumption of Game</vt:lpstr>
      <vt:lpstr>Surface Water</vt:lpstr>
      <vt:lpstr>2-D External Exposure</vt:lpstr>
      <vt:lpstr>Isotope Specific Factors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Stagich, Brooke</dc:creator>
  <cp:lastModifiedBy>Manning, Karessa L.</cp:lastModifiedBy>
  <cp:lastPrinted>2015-10-05T19:59:08Z</cp:lastPrinted>
  <dcterms:created xsi:type="dcterms:W3CDTF">2015-07-29T15:44:33Z</dcterms:created>
  <dcterms:modified xsi:type="dcterms:W3CDTF">2015-10-12T15:04:47Z</dcterms:modified>
</cp:coreProperties>
</file>