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80" yWindow="255" windowWidth="20730" windowHeight="8700"/>
  </bookViews>
  <sheets>
    <sheet name="Direct Consump." sheetId="1" r:id="rId1"/>
    <sheet name="Direct to Water" sheetId="2" r:id="rId2"/>
    <sheet name="Direct to Soil" sheetId="6" r:id="rId3"/>
    <sheet name="Air" sheetId="4" r:id="rId4"/>
    <sheet name="Soil &amp; Water" sheetId="3" r:id="rId5"/>
    <sheet name="Isotope Specific Factors" sheetId="7" r:id="rId6"/>
  </sheets>
  <calcPr calcId="145621"/>
</workbook>
</file>

<file path=xl/calcChain.xml><?xml version="1.0" encoding="utf-8"?>
<calcChain xmlns="http://schemas.openxmlformats.org/spreadsheetml/2006/main">
  <c r="AA37" i="2" l="1"/>
  <c r="V37" i="2"/>
  <c r="AA36" i="2"/>
  <c r="V36" i="2"/>
  <c r="AA35" i="2"/>
  <c r="V35" i="2"/>
  <c r="AA34" i="2"/>
  <c r="V34" i="2"/>
  <c r="AA33" i="2"/>
  <c r="V33" i="2"/>
  <c r="AA32" i="2"/>
  <c r="V32" i="2"/>
  <c r="AA31" i="2"/>
  <c r="V31" i="2"/>
  <c r="AA30" i="2"/>
  <c r="V30" i="2"/>
  <c r="AA29" i="2"/>
  <c r="V29" i="2"/>
  <c r="AA28" i="2"/>
  <c r="V28" i="2"/>
  <c r="AA27" i="2"/>
  <c r="V27" i="2"/>
  <c r="AA26" i="2"/>
  <c r="V26" i="2"/>
  <c r="AA25" i="2"/>
  <c r="V25" i="2"/>
  <c r="AA24" i="2"/>
  <c r="V24" i="2"/>
  <c r="AA23" i="2"/>
  <c r="V23" i="2"/>
  <c r="AA22" i="2"/>
  <c r="V22" i="2"/>
  <c r="AA20" i="2"/>
  <c r="V20" i="2"/>
  <c r="AA19" i="2"/>
  <c r="V19" i="2"/>
  <c r="AA18" i="2"/>
  <c r="V18" i="2"/>
  <c r="AA17" i="2"/>
  <c r="V17" i="2"/>
  <c r="V16" i="2"/>
  <c r="AA15" i="2"/>
  <c r="V15" i="2"/>
  <c r="AA14" i="2"/>
  <c r="V14" i="2"/>
  <c r="V13" i="2"/>
  <c r="V12" i="2"/>
  <c r="AA11" i="2"/>
  <c r="V11" i="2"/>
  <c r="AA10" i="2"/>
  <c r="V10" i="2"/>
  <c r="AA9" i="2"/>
  <c r="V9" i="2"/>
  <c r="AA8" i="2"/>
  <c r="V8" i="2"/>
  <c r="AA7" i="2"/>
  <c r="V7" i="2"/>
  <c r="AA6" i="2"/>
  <c r="V6" i="2"/>
  <c r="AA5" i="2"/>
  <c r="V5" i="2"/>
  <c r="V4" i="2"/>
  <c r="AA3" i="2"/>
  <c r="AA2" i="2"/>
  <c r="V2" i="2"/>
  <c r="Z44" i="2"/>
  <c r="X44" i="2"/>
  <c r="V44" i="2"/>
  <c r="T44" i="2"/>
  <c r="R44" i="2"/>
  <c r="P44" i="2"/>
  <c r="O44" i="2"/>
  <c r="I44" i="2"/>
  <c r="J44" i="2" s="1"/>
  <c r="G44" i="2"/>
  <c r="E44" i="2"/>
  <c r="D44" i="2"/>
  <c r="Z43" i="2"/>
  <c r="X43" i="2"/>
  <c r="V43" i="2"/>
  <c r="T43" i="2"/>
  <c r="R43" i="2"/>
  <c r="P43" i="2"/>
  <c r="O43" i="2"/>
  <c r="I43" i="2"/>
  <c r="J43" i="2" s="1"/>
  <c r="F43" i="2"/>
  <c r="E43" i="2"/>
  <c r="D43" i="2"/>
  <c r="Z42" i="2"/>
  <c r="X42" i="2"/>
  <c r="V42" i="2"/>
  <c r="T42" i="2"/>
  <c r="R42" i="2"/>
  <c r="P42" i="2"/>
  <c r="O42" i="2"/>
  <c r="I42" i="2"/>
  <c r="J42" i="2" s="1"/>
  <c r="E42" i="2"/>
  <c r="D42" i="2"/>
  <c r="Z41" i="2"/>
  <c r="X41" i="2"/>
  <c r="V41" i="2"/>
  <c r="T41" i="2"/>
  <c r="R41" i="2"/>
  <c r="P41" i="2"/>
  <c r="O41" i="2"/>
  <c r="I41" i="2"/>
  <c r="J41" i="2" s="1"/>
  <c r="G41" i="2"/>
  <c r="F41" i="2"/>
  <c r="E41" i="2"/>
  <c r="D41" i="2"/>
  <c r="Z40" i="2"/>
  <c r="X40" i="2"/>
  <c r="V40" i="2"/>
  <c r="T40" i="2"/>
  <c r="R40" i="2"/>
  <c r="P40" i="2"/>
  <c r="O40" i="2"/>
  <c r="I40" i="2"/>
  <c r="J40" i="2" s="1"/>
  <c r="G40" i="2"/>
  <c r="F40" i="2"/>
  <c r="E40" i="2"/>
  <c r="D40" i="2"/>
  <c r="K42" i="2" l="1"/>
  <c r="L42" i="2" s="1"/>
  <c r="M42" i="2"/>
  <c r="N42" i="2" s="1"/>
  <c r="K43" i="2"/>
  <c r="L43" i="2" s="1"/>
  <c r="M43" i="2"/>
  <c r="N43" i="2" s="1"/>
  <c r="M40" i="2"/>
  <c r="N40" i="2" s="1"/>
  <c r="K40" i="2"/>
  <c r="L40" i="2" s="1"/>
  <c r="M41" i="2"/>
  <c r="N41" i="2" s="1"/>
  <c r="K41" i="2"/>
  <c r="L41" i="2" s="1"/>
  <c r="M44" i="2"/>
  <c r="N44" i="2" s="1"/>
  <c r="K44" i="2"/>
  <c r="L44" i="2" s="1"/>
  <c r="H5" i="1"/>
  <c r="H4" i="1"/>
  <c r="H3" i="1"/>
  <c r="H6" i="1"/>
  <c r="G5" i="1"/>
  <c r="H2" i="1"/>
  <c r="I6" i="3" l="1"/>
  <c r="I5" i="3"/>
  <c r="I4" i="3"/>
  <c r="I3" i="3"/>
  <c r="I2" i="3"/>
  <c r="I7" i="7"/>
  <c r="I6" i="4" s="1"/>
  <c r="I4" i="7"/>
  <c r="I3" i="4" s="1"/>
  <c r="I3" i="7"/>
  <c r="I2" i="4" s="1"/>
  <c r="H6" i="4"/>
  <c r="H4" i="4"/>
  <c r="H3" i="4"/>
  <c r="H2" i="4"/>
  <c r="I5" i="4"/>
  <c r="I4" i="4"/>
  <c r="F5" i="4"/>
  <c r="G5" i="4" s="1"/>
  <c r="I4" i="6"/>
  <c r="J6" i="6"/>
  <c r="J3" i="6"/>
  <c r="J2" i="6"/>
  <c r="I5" i="6"/>
  <c r="I3" i="6"/>
  <c r="I2" i="6"/>
  <c r="F5" i="6"/>
  <c r="G5" i="6" s="1"/>
  <c r="J3" i="3"/>
  <c r="J4" i="3"/>
  <c r="J5" i="3"/>
  <c r="J6" i="3"/>
  <c r="J2" i="3"/>
  <c r="H5" i="3"/>
  <c r="H4" i="3"/>
  <c r="H6" i="3"/>
  <c r="H3" i="3"/>
  <c r="H2" i="3"/>
  <c r="F4" i="3"/>
  <c r="G4" i="3" s="1"/>
  <c r="L18" i="1"/>
  <c r="K18" i="1"/>
  <c r="J18" i="1"/>
  <c r="I18" i="1"/>
  <c r="H18" i="1"/>
  <c r="G18" i="1"/>
  <c r="F18" i="1"/>
  <c r="K20" i="6" l="1"/>
  <c r="K17" i="6"/>
  <c r="K14" i="6"/>
  <c r="K11" i="6"/>
  <c r="P11" i="3" l="1"/>
  <c r="P14" i="3"/>
  <c r="P20" i="3"/>
  <c r="U23" i="6"/>
  <c r="N20" i="6"/>
  <c r="M20" i="6"/>
  <c r="L20" i="6"/>
  <c r="N14" i="6"/>
  <c r="M14" i="6"/>
  <c r="L14" i="6"/>
  <c r="N11" i="6"/>
  <c r="M11" i="6"/>
  <c r="L11" i="6"/>
  <c r="J20" i="6"/>
  <c r="J17" i="6"/>
  <c r="J14" i="6"/>
  <c r="J11" i="6"/>
  <c r="I20" i="6"/>
  <c r="I14" i="6"/>
  <c r="I11" i="6"/>
  <c r="H20" i="6"/>
  <c r="H17" i="6"/>
  <c r="H14" i="6"/>
  <c r="H11" i="6"/>
  <c r="Z22" i="6"/>
  <c r="Z23" i="6"/>
  <c r="Z15" i="6"/>
  <c r="U22" i="6"/>
  <c r="U17" i="6"/>
  <c r="U11" i="6"/>
  <c r="B11" i="6" l="1"/>
  <c r="B4" i="6"/>
  <c r="B18" i="6"/>
  <c r="B17" i="6"/>
  <c r="B43" i="6"/>
  <c r="B16" i="6" s="1"/>
  <c r="Z31" i="6"/>
  <c r="U31" i="6"/>
  <c r="Z30" i="6"/>
  <c r="U30" i="6"/>
  <c r="Z29" i="6"/>
  <c r="U29" i="6"/>
  <c r="Z28" i="6"/>
  <c r="U28" i="6"/>
  <c r="Z27" i="6"/>
  <c r="U27" i="6"/>
  <c r="Z26" i="6"/>
  <c r="U26" i="6"/>
  <c r="Z25" i="6"/>
  <c r="U25" i="6"/>
  <c r="Z24" i="6"/>
  <c r="U24" i="6"/>
  <c r="Z21" i="6"/>
  <c r="U21" i="6"/>
  <c r="Z20" i="6"/>
  <c r="U20" i="6"/>
  <c r="U19" i="6"/>
  <c r="U18" i="6"/>
  <c r="Z16" i="6"/>
  <c r="U16" i="6"/>
  <c r="U15" i="6"/>
  <c r="U14" i="6"/>
  <c r="Z13" i="6"/>
  <c r="U13" i="6"/>
  <c r="O19" i="6"/>
  <c r="O16" i="6"/>
  <c r="O13" i="6"/>
  <c r="U12" i="6"/>
  <c r="Z11" i="6"/>
  <c r="U10" i="6"/>
  <c r="O10" i="6"/>
  <c r="F6" i="6"/>
  <c r="F4" i="6"/>
  <c r="F3" i="6"/>
  <c r="F2" i="6"/>
  <c r="I48" i="4"/>
  <c r="I47" i="4"/>
  <c r="I46" i="4"/>
  <c r="I45" i="4"/>
  <c r="I44" i="4"/>
  <c r="I43" i="4"/>
  <c r="I42" i="4"/>
  <c r="I40" i="4"/>
  <c r="I39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J21" i="4"/>
  <c r="I21" i="4"/>
  <c r="H21" i="4"/>
  <c r="G21" i="4"/>
  <c r="J18" i="4"/>
  <c r="H18" i="4"/>
  <c r="G18" i="4"/>
  <c r="J15" i="4"/>
  <c r="I15" i="4"/>
  <c r="H15" i="4"/>
  <c r="G15" i="4"/>
  <c r="J12" i="4"/>
  <c r="I12" i="4"/>
  <c r="H12" i="4"/>
  <c r="G12" i="4"/>
  <c r="G2" i="6" l="1"/>
  <c r="G11" i="6" s="1"/>
  <c r="F10" i="6"/>
  <c r="G10" i="6"/>
  <c r="E10" i="6"/>
  <c r="G3" i="6"/>
  <c r="F13" i="6"/>
  <c r="E13" i="6"/>
  <c r="G13" i="6"/>
  <c r="G4" i="6"/>
  <c r="F17" i="6" s="1"/>
  <c r="F16" i="6"/>
  <c r="G6" i="6"/>
  <c r="F19" i="6"/>
  <c r="G19" i="6"/>
  <c r="E19" i="6"/>
  <c r="F6" i="4"/>
  <c r="F4" i="4"/>
  <c r="E18" i="4" s="1"/>
  <c r="F3" i="4"/>
  <c r="F2" i="4"/>
  <c r="B15" i="4"/>
  <c r="B14" i="4"/>
  <c r="B13" i="4"/>
  <c r="B4" i="4"/>
  <c r="E21" i="4" l="1"/>
  <c r="F21" i="4"/>
  <c r="H22" i="4"/>
  <c r="H23" i="4" s="1"/>
  <c r="H19" i="4"/>
  <c r="H20" i="4" s="1"/>
  <c r="J19" i="4" s="1"/>
  <c r="J20" i="4" s="1"/>
  <c r="H13" i="4"/>
  <c r="H14" i="4" s="1"/>
  <c r="H16" i="4"/>
  <c r="H17" i="4" s="1"/>
  <c r="E12" i="4"/>
  <c r="F12" i="4"/>
  <c r="I13" i="4"/>
  <c r="I16" i="4"/>
  <c r="I22" i="4"/>
  <c r="I23" i="4" s="1"/>
  <c r="E15" i="4"/>
  <c r="F15" i="4"/>
  <c r="F18" i="6"/>
  <c r="F14" i="6"/>
  <c r="F15" i="6" s="1"/>
  <c r="E14" i="6"/>
  <c r="E15" i="6" s="1"/>
  <c r="G14" i="6"/>
  <c r="G15" i="6" s="1"/>
  <c r="E20" i="6"/>
  <c r="E21" i="6" s="1"/>
  <c r="G20" i="6"/>
  <c r="G21" i="6" s="1"/>
  <c r="F20" i="6"/>
  <c r="F21" i="6" s="1"/>
  <c r="E11" i="6"/>
  <c r="E12" i="6" s="1"/>
  <c r="G12" i="6"/>
  <c r="F11" i="6"/>
  <c r="F12" i="6" s="1"/>
  <c r="G3" i="4"/>
  <c r="G4" i="4"/>
  <c r="E19" i="4" s="1"/>
  <c r="E20" i="4" s="1"/>
  <c r="G19" i="4" s="1"/>
  <c r="G20" i="4" s="1"/>
  <c r="G6" i="4"/>
  <c r="G2" i="4"/>
  <c r="R20" i="3"/>
  <c r="Q20" i="3"/>
  <c r="Q17" i="3"/>
  <c r="Q19" i="3"/>
  <c r="Q16" i="3"/>
  <c r="Q18" i="3" s="1"/>
  <c r="Q13" i="3"/>
  <c r="Q10" i="3"/>
  <c r="R14" i="3"/>
  <c r="Q14" i="3"/>
  <c r="O20" i="3"/>
  <c r="O17" i="3"/>
  <c r="O14" i="3"/>
  <c r="O16" i="3"/>
  <c r="O18" i="3" s="1"/>
  <c r="O19" i="3"/>
  <c r="O13" i="3"/>
  <c r="O11" i="3"/>
  <c r="N20" i="3"/>
  <c r="M20" i="3"/>
  <c r="M17" i="3"/>
  <c r="N14" i="3"/>
  <c r="M14" i="3"/>
  <c r="M13" i="3"/>
  <c r="M19" i="3"/>
  <c r="M16" i="3"/>
  <c r="K20" i="3"/>
  <c r="K17" i="3"/>
  <c r="K14" i="3"/>
  <c r="K19" i="3"/>
  <c r="K16" i="3"/>
  <c r="K13" i="3"/>
  <c r="J20" i="3"/>
  <c r="J17" i="3"/>
  <c r="J14" i="3"/>
  <c r="I20" i="3"/>
  <c r="I17" i="3"/>
  <c r="I14" i="3"/>
  <c r="I19" i="3"/>
  <c r="I16" i="3"/>
  <c r="I13" i="3"/>
  <c r="I10" i="3"/>
  <c r="H20" i="3"/>
  <c r="H14" i="3"/>
  <c r="G19" i="3"/>
  <c r="G13" i="3"/>
  <c r="G20" i="3"/>
  <c r="G14" i="3"/>
  <c r="F20" i="3"/>
  <c r="F17" i="3"/>
  <c r="F14" i="3"/>
  <c r="E20" i="3"/>
  <c r="E17" i="3"/>
  <c r="E14" i="3"/>
  <c r="E11" i="3"/>
  <c r="O21" i="3" l="1"/>
  <c r="K21" i="3"/>
  <c r="G15" i="3"/>
  <c r="I17" i="4"/>
  <c r="J16" i="4" s="1"/>
  <c r="J17" i="4" s="1"/>
  <c r="E16" i="4"/>
  <c r="E17" i="4" s="1"/>
  <c r="F16" i="4"/>
  <c r="F17" i="4" s="1"/>
  <c r="F22" i="4"/>
  <c r="F23" i="4" s="1"/>
  <c r="E22" i="4"/>
  <c r="E23" i="4" s="1"/>
  <c r="I14" i="4"/>
  <c r="F13" i="4"/>
  <c r="F14" i="4" s="1"/>
  <c r="E13" i="4"/>
  <c r="E14" i="4" s="1"/>
  <c r="M18" i="3"/>
  <c r="I15" i="3"/>
  <c r="Q21" i="3"/>
  <c r="G21" i="3"/>
  <c r="M21" i="3"/>
  <c r="K15" i="3"/>
  <c r="O15" i="3"/>
  <c r="I18" i="3"/>
  <c r="I21" i="3"/>
  <c r="K18" i="3"/>
  <c r="M15" i="3"/>
  <c r="Q15" i="3"/>
  <c r="J22" i="4"/>
  <c r="J23" i="4" s="1"/>
  <c r="J13" i="4"/>
  <c r="J14" i="4" s="1"/>
  <c r="I11" i="3"/>
  <c r="I12" i="3" s="1"/>
  <c r="M11" i="3"/>
  <c r="N11" i="3"/>
  <c r="K11" i="3"/>
  <c r="O10" i="3"/>
  <c r="O12" i="3" s="1"/>
  <c r="M10" i="3"/>
  <c r="K10" i="3"/>
  <c r="J11" i="3"/>
  <c r="G11" i="3"/>
  <c r="G10" i="3"/>
  <c r="H11" i="3"/>
  <c r="Q11" i="3"/>
  <c r="Q12" i="3" s="1"/>
  <c r="R11" i="3"/>
  <c r="B64" i="3"/>
  <c r="F11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S37" i="3"/>
  <c r="S35" i="3"/>
  <c r="S33" i="3"/>
  <c r="S32" i="3"/>
  <c r="S31" i="3"/>
  <c r="S30" i="3"/>
  <c r="S29" i="3"/>
  <c r="S26" i="3"/>
  <c r="S25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25" i="3"/>
  <c r="B43" i="3"/>
  <c r="B16" i="3" s="1"/>
  <c r="B18" i="3"/>
  <c r="B17" i="3"/>
  <c r="B11" i="3"/>
  <c r="B4" i="3"/>
  <c r="F6" i="3"/>
  <c r="G6" i="3" s="1"/>
  <c r="F5" i="3"/>
  <c r="G5" i="3" s="1"/>
  <c r="F3" i="3"/>
  <c r="G3" i="3" s="1"/>
  <c r="F2" i="3"/>
  <c r="G2" i="3" s="1"/>
  <c r="M12" i="3" l="1"/>
  <c r="K12" i="3"/>
  <c r="G12" i="3"/>
  <c r="L20" i="3"/>
  <c r="L17" i="3"/>
  <c r="L14" i="3"/>
  <c r="L11" i="3"/>
  <c r="G16" i="4"/>
  <c r="G17" i="4" s="1"/>
  <c r="G22" i="4"/>
  <c r="G23" i="4" s="1"/>
  <c r="G13" i="4"/>
  <c r="G14" i="4" s="1"/>
  <c r="N20" i="2" l="1"/>
  <c r="L20" i="2"/>
  <c r="K20" i="2"/>
  <c r="J20" i="2"/>
  <c r="I20" i="2"/>
  <c r="G19" i="2"/>
  <c r="E19" i="2"/>
  <c r="L17" i="2"/>
  <c r="K17" i="2"/>
  <c r="E16" i="2"/>
  <c r="N14" i="2"/>
  <c r="L14" i="2"/>
  <c r="K14" i="2"/>
  <c r="J14" i="2"/>
  <c r="I14" i="2"/>
  <c r="G13" i="2"/>
  <c r="N11" i="2"/>
  <c r="L11" i="2"/>
  <c r="K11" i="2"/>
  <c r="J11" i="2"/>
  <c r="I11" i="2"/>
  <c r="F16" i="2"/>
  <c r="E13" i="2"/>
  <c r="G10" i="2"/>
  <c r="E10" i="2"/>
  <c r="B16" i="2"/>
  <c r="G20" i="2" s="1"/>
  <c r="B10" i="2"/>
  <c r="F17" i="2" s="1"/>
  <c r="B3" i="2"/>
  <c r="E11" i="2" s="1"/>
  <c r="B33" i="2"/>
  <c r="M20" i="2" s="1"/>
  <c r="M17" i="2" l="1"/>
  <c r="M14" i="2"/>
  <c r="E14" i="2"/>
  <c r="E20" i="2"/>
  <c r="M11" i="2"/>
  <c r="G14" i="2"/>
  <c r="G11" i="2"/>
  <c r="E17" i="2"/>
  <c r="E18" i="2" s="1"/>
  <c r="E34" i="2" l="1"/>
  <c r="F34" i="2"/>
  <c r="G33" i="2"/>
  <c r="G34" i="2"/>
  <c r="E28" i="2"/>
  <c r="F28" i="2"/>
  <c r="G28" i="2"/>
  <c r="G27" i="2"/>
  <c r="F31" i="2"/>
  <c r="P4" i="3" s="1"/>
  <c r="E31" i="2"/>
  <c r="O4" i="3" s="1"/>
  <c r="E25" i="2"/>
  <c r="F25" i="2"/>
  <c r="G31" i="2"/>
  <c r="Q4" i="3" s="1"/>
  <c r="G30" i="2"/>
  <c r="G25" i="2"/>
  <c r="G24" i="2"/>
  <c r="F33" i="2" l="1"/>
  <c r="E33" i="2"/>
  <c r="F30" i="2"/>
  <c r="F32" i="2" s="1"/>
  <c r="P5" i="3" s="1"/>
  <c r="E30" i="2"/>
  <c r="E32" i="2" s="1"/>
  <c r="E24" i="2"/>
  <c r="F24" i="2"/>
  <c r="F27" i="2"/>
  <c r="F29" i="2" s="1"/>
  <c r="P3" i="3" s="1"/>
  <c r="E27" i="2"/>
  <c r="E29" i="2" s="1"/>
  <c r="G32" i="2"/>
  <c r="Q5" i="3" s="1"/>
  <c r="G29" i="2"/>
  <c r="Q3" i="3" s="1"/>
  <c r="O3" i="3" l="1"/>
  <c r="E13" i="3" s="1"/>
  <c r="E15" i="3" s="1"/>
  <c r="H14" i="2"/>
  <c r="O5" i="3"/>
  <c r="E16" i="3" s="1"/>
  <c r="E18" i="3" s="1"/>
  <c r="H17" i="2"/>
  <c r="E21" i="2"/>
  <c r="P19" i="2"/>
  <c r="O19" i="2"/>
  <c r="P16" i="2"/>
  <c r="O16" i="2"/>
  <c r="F18" i="2"/>
  <c r="P13" i="2"/>
  <c r="O13" i="2"/>
  <c r="G15" i="2"/>
  <c r="E15" i="2"/>
  <c r="P10" i="2"/>
  <c r="O10" i="2"/>
  <c r="G12" i="2"/>
  <c r="E12" i="2"/>
  <c r="F35" i="2" l="1"/>
  <c r="P6" i="3" s="1"/>
  <c r="E35" i="2"/>
  <c r="G21" i="2"/>
  <c r="E26" i="2"/>
  <c r="O2" i="3" s="1"/>
  <c r="F26" i="2"/>
  <c r="P2" i="3" s="1"/>
  <c r="G26" i="2"/>
  <c r="Q2" i="3" s="1"/>
  <c r="E10" i="3" l="1"/>
  <c r="E12" i="3" s="1"/>
  <c r="O6" i="3"/>
  <c r="H11" i="2"/>
  <c r="G35" i="2" l="1"/>
  <c r="L21" i="1"/>
  <c r="K21" i="1"/>
  <c r="J21" i="1"/>
  <c r="I21" i="1"/>
  <c r="H21" i="1"/>
  <c r="G21" i="1"/>
  <c r="F21" i="1"/>
  <c r="L15" i="1"/>
  <c r="K15" i="1"/>
  <c r="J15" i="1"/>
  <c r="I15" i="1"/>
  <c r="H15" i="1"/>
  <c r="G15" i="1"/>
  <c r="F15" i="1"/>
  <c r="G12" i="1"/>
  <c r="H12" i="1"/>
  <c r="I12" i="1"/>
  <c r="J12" i="1"/>
  <c r="K12" i="1"/>
  <c r="L12" i="1"/>
  <c r="F12" i="1"/>
  <c r="G9" i="1"/>
  <c r="H9" i="1"/>
  <c r="I9" i="1"/>
  <c r="J9" i="1"/>
  <c r="K9" i="1"/>
  <c r="L9" i="1"/>
  <c r="F9" i="1"/>
  <c r="B34" i="1"/>
  <c r="B30" i="1"/>
  <c r="B26" i="1"/>
  <c r="B22" i="1"/>
  <c r="B18" i="1"/>
  <c r="B14" i="1"/>
  <c r="B4" i="1"/>
  <c r="B3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J16" i="1" l="1"/>
  <c r="J10" i="1"/>
  <c r="J19" i="1"/>
  <c r="J20" i="1" s="1"/>
  <c r="J13" i="1"/>
  <c r="J22" i="1"/>
  <c r="J23" i="1" s="1"/>
  <c r="K20" i="1"/>
  <c r="K10" i="1"/>
  <c r="K13" i="1"/>
  <c r="K19" i="1"/>
  <c r="K22" i="1"/>
  <c r="K16" i="1"/>
  <c r="L20" i="1"/>
  <c r="V5" i="6" s="1"/>
  <c r="L22" i="1"/>
  <c r="L10" i="1"/>
  <c r="L16" i="1"/>
  <c r="L17" i="1" s="1"/>
  <c r="L13" i="1"/>
  <c r="L19" i="1"/>
  <c r="G22" i="1"/>
  <c r="G23" i="1" s="1"/>
  <c r="G10" i="1"/>
  <c r="G19" i="1"/>
  <c r="G20" i="1" s="1"/>
  <c r="G13" i="1"/>
  <c r="G14" i="1" s="1"/>
  <c r="G16" i="1"/>
  <c r="G17" i="1" s="1"/>
  <c r="H22" i="1"/>
  <c r="H19" i="1"/>
  <c r="H20" i="1" s="1"/>
  <c r="H13" i="1"/>
  <c r="H16" i="1"/>
  <c r="H10" i="1"/>
  <c r="H11" i="1" s="1"/>
  <c r="F19" i="1"/>
  <c r="F20" i="1" s="1"/>
  <c r="I22" i="1"/>
  <c r="F22" i="1"/>
  <c r="F16" i="1"/>
  <c r="F10" i="1"/>
  <c r="I16" i="1"/>
  <c r="I10" i="1"/>
  <c r="F13" i="1"/>
  <c r="I19" i="1"/>
  <c r="I20" i="1" s="1"/>
  <c r="I13" i="1"/>
  <c r="I14" i="1" s="1"/>
  <c r="AB5" i="6"/>
  <c r="AB5" i="3"/>
  <c r="V5" i="3"/>
  <c r="Q6" i="3"/>
  <c r="E19" i="3" s="1"/>
  <c r="E21" i="3" s="1"/>
  <c r="H20" i="2"/>
  <c r="F14" i="1"/>
  <c r="N3" i="3" s="1"/>
  <c r="I11" i="1"/>
  <c r="F17" i="1"/>
  <c r="N4" i="3" s="1"/>
  <c r="F23" i="1"/>
  <c r="I17" i="1"/>
  <c r="X4" i="3" s="1"/>
  <c r="I23" i="1"/>
  <c r="F11" i="1"/>
  <c r="J14" i="1"/>
  <c r="J17" i="1"/>
  <c r="J11" i="1"/>
  <c r="G11" i="1"/>
  <c r="K17" i="1"/>
  <c r="K23" i="1"/>
  <c r="K11" i="1"/>
  <c r="K14" i="1"/>
  <c r="H23" i="1"/>
  <c r="H14" i="1"/>
  <c r="H17" i="1"/>
  <c r="L23" i="1"/>
  <c r="L11" i="1"/>
  <c r="L14" i="1"/>
  <c r="T5" i="3" l="1"/>
  <c r="T5" i="6"/>
  <c r="R5" i="3"/>
  <c r="R5" i="6"/>
  <c r="Z5" i="6"/>
  <c r="Z5" i="3"/>
  <c r="L16" i="3" s="1"/>
  <c r="L18" i="3" s="1"/>
  <c r="T4" i="3"/>
  <c r="T4" i="6"/>
  <c r="V4" i="6"/>
  <c r="V4" i="3"/>
  <c r="Q5" i="6"/>
  <c r="N5" i="3"/>
  <c r="F16" i="3" s="1"/>
  <c r="F18" i="3" s="1"/>
  <c r="AB4" i="6"/>
  <c r="AB4" i="3"/>
  <c r="R4" i="6"/>
  <c r="R4" i="3"/>
  <c r="Z4" i="6"/>
  <c r="K16" i="6" s="1"/>
  <c r="K18" i="6" s="1"/>
  <c r="Z4" i="3"/>
  <c r="X5" i="3"/>
  <c r="J16" i="3" s="1"/>
  <c r="J18" i="3" s="1"/>
  <c r="X5" i="6"/>
  <c r="M16" i="2"/>
  <c r="M18" i="2" s="1"/>
  <c r="H19" i="2"/>
  <c r="Q6" i="6"/>
  <c r="H19" i="6" s="1"/>
  <c r="H21" i="6" s="1"/>
  <c r="N6" i="3"/>
  <c r="F19" i="3" s="1"/>
  <c r="F21" i="3" s="1"/>
  <c r="I19" i="2"/>
  <c r="I21" i="2" s="1"/>
  <c r="R6" i="6"/>
  <c r="N19" i="6" s="1"/>
  <c r="N21" i="6" s="1"/>
  <c r="R6" i="3"/>
  <c r="R19" i="3" s="1"/>
  <c r="R21" i="3" s="1"/>
  <c r="L19" i="2"/>
  <c r="L21" i="2" s="1"/>
  <c r="X6" i="6"/>
  <c r="J19" i="6" s="1"/>
  <c r="J21" i="6" s="1"/>
  <c r="X6" i="3"/>
  <c r="J19" i="3" s="1"/>
  <c r="J21" i="3" s="1"/>
  <c r="N13" i="2"/>
  <c r="N15" i="2" s="1"/>
  <c r="AB3" i="6"/>
  <c r="L13" i="6" s="1"/>
  <c r="L15" i="6" s="1"/>
  <c r="AB3" i="3"/>
  <c r="N13" i="3" s="1"/>
  <c r="N15" i="3" s="1"/>
  <c r="I13" i="2"/>
  <c r="I15" i="2" s="1"/>
  <c r="R3" i="6"/>
  <c r="N13" i="6" s="1"/>
  <c r="N15" i="6" s="1"/>
  <c r="R3" i="3"/>
  <c r="R13" i="3" s="1"/>
  <c r="R15" i="3" s="1"/>
  <c r="J19" i="2"/>
  <c r="J21" i="2" s="1"/>
  <c r="T6" i="6"/>
  <c r="M19" i="6" s="1"/>
  <c r="M21" i="6" s="1"/>
  <c r="T6" i="3"/>
  <c r="P19" i="3" s="1"/>
  <c r="P21" i="3" s="1"/>
  <c r="M13" i="2"/>
  <c r="M15" i="2" s="1"/>
  <c r="Z3" i="6"/>
  <c r="K13" i="6" s="1"/>
  <c r="K15" i="6" s="1"/>
  <c r="Z3" i="3"/>
  <c r="L13" i="3" s="1"/>
  <c r="L15" i="3" s="1"/>
  <c r="K19" i="2"/>
  <c r="K21" i="2" s="1"/>
  <c r="V6" i="6"/>
  <c r="I19" i="6" s="1"/>
  <c r="I21" i="6" s="1"/>
  <c r="V6" i="3"/>
  <c r="H19" i="3" s="1"/>
  <c r="H21" i="3" s="1"/>
  <c r="N10" i="2"/>
  <c r="N12" i="2" s="1"/>
  <c r="AB2" i="6"/>
  <c r="L10" i="6" s="1"/>
  <c r="L12" i="6" s="1"/>
  <c r="AB2" i="3"/>
  <c r="N10" i="3" s="1"/>
  <c r="N12" i="3" s="1"/>
  <c r="L10" i="2"/>
  <c r="L12" i="2" s="1"/>
  <c r="X2" i="6"/>
  <c r="J10" i="6" s="1"/>
  <c r="J12" i="6" s="1"/>
  <c r="X2" i="3"/>
  <c r="J10" i="3" s="1"/>
  <c r="J12" i="3" s="1"/>
  <c r="K10" i="2"/>
  <c r="K12" i="2" s="1"/>
  <c r="V2" i="6"/>
  <c r="I10" i="6" s="1"/>
  <c r="I12" i="6" s="1"/>
  <c r="V2" i="3"/>
  <c r="H10" i="3" s="1"/>
  <c r="H12" i="3" s="1"/>
  <c r="J10" i="2"/>
  <c r="J12" i="2" s="1"/>
  <c r="T2" i="6"/>
  <c r="M10" i="6" s="1"/>
  <c r="M12" i="6" s="1"/>
  <c r="T2" i="3"/>
  <c r="P10" i="3" s="1"/>
  <c r="P12" i="3" s="1"/>
  <c r="H13" i="2"/>
  <c r="H15" i="2" s="1"/>
  <c r="O14" i="2" s="1"/>
  <c r="O15" i="2" s="1"/>
  <c r="Q3" i="6"/>
  <c r="H13" i="6" s="1"/>
  <c r="H15" i="6" s="1"/>
  <c r="F13" i="3"/>
  <c r="F15" i="3" s="1"/>
  <c r="X4" i="6"/>
  <c r="J16" i="6" s="1"/>
  <c r="J18" i="6" s="1"/>
  <c r="K13" i="2"/>
  <c r="K15" i="2" s="1"/>
  <c r="V3" i="6"/>
  <c r="I13" i="6" s="1"/>
  <c r="I15" i="6" s="1"/>
  <c r="V3" i="3"/>
  <c r="H13" i="3" s="1"/>
  <c r="H15" i="3" s="1"/>
  <c r="I10" i="2"/>
  <c r="I12" i="2" s="1"/>
  <c r="R2" i="6"/>
  <c r="N10" i="6" s="1"/>
  <c r="N12" i="6" s="1"/>
  <c r="R2" i="3"/>
  <c r="R10" i="3" s="1"/>
  <c r="R12" i="3" s="1"/>
  <c r="M10" i="2"/>
  <c r="M12" i="2" s="1"/>
  <c r="Z2" i="6"/>
  <c r="K10" i="6" s="1"/>
  <c r="K12" i="6" s="1"/>
  <c r="Z2" i="3"/>
  <c r="L10" i="3" s="1"/>
  <c r="L12" i="3" s="1"/>
  <c r="M19" i="2"/>
  <c r="M21" i="2" s="1"/>
  <c r="Z6" i="6"/>
  <c r="K19" i="6" s="1"/>
  <c r="K21" i="6" s="1"/>
  <c r="Z6" i="3"/>
  <c r="L19" i="3" s="1"/>
  <c r="L21" i="3" s="1"/>
  <c r="L13" i="2"/>
  <c r="L15" i="2" s="1"/>
  <c r="X3" i="6"/>
  <c r="J13" i="6" s="1"/>
  <c r="J15" i="6" s="1"/>
  <c r="X3" i="3"/>
  <c r="J13" i="3" s="1"/>
  <c r="J15" i="3" s="1"/>
  <c r="J13" i="2"/>
  <c r="J15" i="2" s="1"/>
  <c r="T3" i="6"/>
  <c r="M13" i="6" s="1"/>
  <c r="M15" i="6" s="1"/>
  <c r="T3" i="3"/>
  <c r="P13" i="3" s="1"/>
  <c r="P15" i="3" s="1"/>
  <c r="L16" i="2"/>
  <c r="L18" i="2" s="1"/>
  <c r="N19" i="2"/>
  <c r="N21" i="2" s="1"/>
  <c r="AB6" i="6"/>
  <c r="L19" i="6" s="1"/>
  <c r="L21" i="6" s="1"/>
  <c r="AB6" i="3"/>
  <c r="N19" i="3" s="1"/>
  <c r="N21" i="3" s="1"/>
  <c r="H10" i="2"/>
  <c r="H12" i="2" s="1"/>
  <c r="O11" i="2" s="1"/>
  <c r="O12" i="2" s="1"/>
  <c r="N2" i="3"/>
  <c r="F10" i="3" s="1"/>
  <c r="F12" i="3" s="1"/>
  <c r="Q2" i="6"/>
  <c r="H10" i="6" s="1"/>
  <c r="H12" i="6" s="1"/>
  <c r="Q4" i="6"/>
  <c r="H16" i="6" s="1"/>
  <c r="H18" i="6" s="1"/>
  <c r="H16" i="2"/>
  <c r="H18" i="2" s="1"/>
  <c r="O17" i="2" s="1"/>
  <c r="O18" i="2" s="1"/>
  <c r="K16" i="2"/>
  <c r="K18" i="2" s="1"/>
  <c r="H21" i="2" l="1"/>
  <c r="O20" i="2" s="1"/>
  <c r="O21" i="2" s="1"/>
  <c r="P14" i="2"/>
  <c r="P15" i="2" s="1"/>
  <c r="P11" i="2"/>
  <c r="P12" i="2" s="1"/>
  <c r="O11" i="6"/>
  <c r="O12" i="6" s="1"/>
  <c r="O14" i="6"/>
  <c r="O15" i="6" s="1"/>
  <c r="O20" i="6"/>
  <c r="O21" i="6" s="1"/>
  <c r="O17" i="6"/>
  <c r="O18" i="6" s="1"/>
  <c r="P17" i="2"/>
  <c r="P18" i="2" s="1"/>
  <c r="P20" i="2"/>
  <c r="P21" i="2" s="1"/>
  <c r="G6" i="1"/>
  <c r="G4" i="1"/>
  <c r="G3" i="1"/>
  <c r="G2" i="1"/>
</calcChain>
</file>

<file path=xl/sharedStrings.xml><?xml version="1.0" encoding="utf-8"?>
<sst xmlns="http://schemas.openxmlformats.org/spreadsheetml/2006/main" count="873" uniqueCount="210">
  <si>
    <t>Halflife (y)</t>
  </si>
  <si>
    <t>λ</t>
  </si>
  <si>
    <t>Am-241</t>
  </si>
  <si>
    <t>Co-60</t>
  </si>
  <si>
    <t>H-3</t>
  </si>
  <si>
    <t>Pu-238</t>
  </si>
  <si>
    <t>SF(f)</t>
  </si>
  <si>
    <t>Variables</t>
  </si>
  <si>
    <t>Defaults</t>
  </si>
  <si>
    <t>TR</t>
  </si>
  <si>
    <t>IFF(f-adj)</t>
  </si>
  <si>
    <t>IFV(f-adj)</t>
  </si>
  <si>
    <t>CPF(f)</t>
  </si>
  <si>
    <t>EF(f-c)</t>
  </si>
  <si>
    <t>ED(f-c)</t>
  </si>
  <si>
    <t>IRF(f-c)</t>
  </si>
  <si>
    <t>EF(f-a)</t>
  </si>
  <si>
    <t>ED(f-a)</t>
  </si>
  <si>
    <t>IRF(f-a)</t>
  </si>
  <si>
    <t>IRV(f-c)</t>
  </si>
  <si>
    <t>IRV(f-a)</t>
  </si>
  <si>
    <t>IFP(f-adj)</t>
  </si>
  <si>
    <t>IRP(f-c)</t>
  </si>
  <si>
    <t>IRP(f-a)</t>
  </si>
  <si>
    <t>CF(po)</t>
  </si>
  <si>
    <t>IRE(f-c)</t>
  </si>
  <si>
    <t>IRE(f-a)</t>
  </si>
  <si>
    <t>IFE(f-adj)</t>
  </si>
  <si>
    <t>CF(egg)</t>
  </si>
  <si>
    <t>IFB(f-adj)</t>
  </si>
  <si>
    <t>IRB(f-c)</t>
  </si>
  <si>
    <t>IRB(f-a)</t>
  </si>
  <si>
    <t>IFD(f-adj)</t>
  </si>
  <si>
    <t>IRD(f-c)</t>
  </si>
  <si>
    <t>IRD(f-a)</t>
  </si>
  <si>
    <t>CF(dairy)</t>
  </si>
  <si>
    <t>IFSW(f-adj)</t>
  </si>
  <si>
    <t>IRSW(f-c)</t>
  </si>
  <si>
    <t>IRSW(f-a)</t>
  </si>
  <si>
    <t>CF(sw)</t>
  </si>
  <si>
    <t>IFFI(f-adj)</t>
  </si>
  <si>
    <t>IRFI(f-c)</t>
  </si>
  <si>
    <t>IRFI(f-a)</t>
  </si>
  <si>
    <t>CF(fish)</t>
  </si>
  <si>
    <t>Fruits &amp; Vegetables</t>
  </si>
  <si>
    <t>Poultry</t>
  </si>
  <si>
    <t>Eggs</t>
  </si>
  <si>
    <t>Beef</t>
  </si>
  <si>
    <t>Milk</t>
  </si>
  <si>
    <t>Swine</t>
  </si>
  <si>
    <t>Fish</t>
  </si>
  <si>
    <t>Calculated</t>
  </si>
  <si>
    <t>PRG</t>
  </si>
  <si>
    <t>% Differ.</t>
  </si>
  <si>
    <t>F &amp; V</t>
  </si>
  <si>
    <t>CF(beef)</t>
  </si>
  <si>
    <t>Ingestion of Tapwater</t>
  </si>
  <si>
    <t>Inhalation</t>
  </si>
  <si>
    <t>Immersion</t>
  </si>
  <si>
    <t>Fruits &amp; Veg.</t>
  </si>
  <si>
    <t>Total Tap</t>
  </si>
  <si>
    <t>Total</t>
  </si>
  <si>
    <t>Ingestion</t>
  </si>
  <si>
    <t>Lambda i</t>
  </si>
  <si>
    <t>Lambda B</t>
  </si>
  <si>
    <t>Lambda E</t>
  </si>
  <si>
    <t>Irr(rup)</t>
  </si>
  <si>
    <t>Irr(res)</t>
  </si>
  <si>
    <t>Irr(dep)</t>
  </si>
  <si>
    <t>SF(w)</t>
  </si>
  <si>
    <t>SF(i)</t>
  </si>
  <si>
    <t>SF(imm)</t>
  </si>
  <si>
    <t>IFW(f-adj)</t>
  </si>
  <si>
    <t>IRW(f-c)</t>
  </si>
  <si>
    <t>IRW(f-a)</t>
  </si>
  <si>
    <t>IFA(f-adj)</t>
  </si>
  <si>
    <t>K</t>
  </si>
  <si>
    <t>IRA(f-c)</t>
  </si>
  <si>
    <t>IRA(f-a)</t>
  </si>
  <si>
    <t>ET(f-c)</t>
  </si>
  <si>
    <t>ET(f-a)</t>
  </si>
  <si>
    <t>DFA(f-adj)</t>
  </si>
  <si>
    <t>EV(f-c)</t>
  </si>
  <si>
    <t>t(f-c-event)</t>
  </si>
  <si>
    <t>EV(f-a)</t>
  </si>
  <si>
    <t>t(f-a-event)</t>
  </si>
  <si>
    <t>I(r )</t>
  </si>
  <si>
    <t>F</t>
  </si>
  <si>
    <t>t(b)</t>
  </si>
  <si>
    <t>P</t>
  </si>
  <si>
    <t>MLF</t>
  </si>
  <si>
    <t>I(f)</t>
  </si>
  <si>
    <t>T</t>
  </si>
  <si>
    <t>t(v)</t>
  </si>
  <si>
    <t>Y(v)</t>
  </si>
  <si>
    <t>Q(w-po)</t>
  </si>
  <si>
    <t>Q(w-beef)</t>
  </si>
  <si>
    <t>ρ(m)</t>
  </si>
  <si>
    <t>Q(w-dairy)</t>
  </si>
  <si>
    <t>Q(w-sw)</t>
  </si>
  <si>
    <t>Bv(wet)</t>
  </si>
  <si>
    <t>λ(i)</t>
  </si>
  <si>
    <t>λ(B)</t>
  </si>
  <si>
    <t>Halflife (d)</t>
  </si>
  <si>
    <r>
      <t>1-exp(-</t>
    </r>
    <r>
      <rPr>
        <sz val="10"/>
        <color theme="1"/>
        <rFont val="Calibri"/>
        <family val="2"/>
      </rPr>
      <t>λ(B)t(b))</t>
    </r>
  </si>
  <si>
    <t>λ( E)</t>
  </si>
  <si>
    <r>
      <t>1-exp(-</t>
    </r>
    <r>
      <rPr>
        <sz val="10"/>
        <color theme="1"/>
        <rFont val="Calibri"/>
        <family val="2"/>
      </rPr>
      <t>λ(E)t(v))</t>
    </r>
  </si>
  <si>
    <t>TF(egg)</t>
  </si>
  <si>
    <t>TF(po)</t>
  </si>
  <si>
    <t>BCF</t>
  </si>
  <si>
    <t>TF(beef)</t>
  </si>
  <si>
    <t>TF(dairy)</t>
  </si>
  <si>
    <t>TF(sw)</t>
  </si>
  <si>
    <t>PRG(f-egg-ing)</t>
  </si>
  <si>
    <t>PRG(f-po-ing)</t>
  </si>
  <si>
    <t>PRG(f-fish-ing)</t>
  </si>
  <si>
    <t>PRG(f-beef-ing)</t>
  </si>
  <si>
    <t>PRG(f-dairy-ing)</t>
  </si>
  <si>
    <t>PRG(f-sw-ing)</t>
  </si>
  <si>
    <t>λ(HL)</t>
  </si>
  <si>
    <t>PRG(f-prod-ing)</t>
  </si>
  <si>
    <t>t(f)</t>
  </si>
  <si>
    <t>IFS(f-adj)</t>
  </si>
  <si>
    <t>IRS(f-c)</t>
  </si>
  <si>
    <t>IRS(f-a)</t>
  </si>
  <si>
    <t>PEF</t>
  </si>
  <si>
    <t>EF(f)</t>
  </si>
  <si>
    <t>ED(f)</t>
  </si>
  <si>
    <t>ET(fo)</t>
  </si>
  <si>
    <t>ET(fi)</t>
  </si>
  <si>
    <t>R(upv)</t>
  </si>
  <si>
    <t>R(es)</t>
  </si>
  <si>
    <t>Q(p-po)</t>
  </si>
  <si>
    <t>f(p-po)</t>
  </si>
  <si>
    <t>f(s-po)</t>
  </si>
  <si>
    <t>Q(s-po)</t>
  </si>
  <si>
    <t>R(upp)</t>
  </si>
  <si>
    <t>Q(p-beef)</t>
  </si>
  <si>
    <t>f(p-beef)</t>
  </si>
  <si>
    <t>f(s-beef)</t>
  </si>
  <si>
    <t>Q(s-beef)</t>
  </si>
  <si>
    <t>Q(p-dairy)</t>
  </si>
  <si>
    <t>f(p-dairy)</t>
  </si>
  <si>
    <t>f(s-dairy)</t>
  </si>
  <si>
    <t>Q(s-dairy)</t>
  </si>
  <si>
    <t>Q(p-sw)</t>
  </si>
  <si>
    <t>f(p-sw)</t>
  </si>
  <si>
    <t>f(s-sw)</t>
  </si>
  <si>
    <t>Q(s-sw)</t>
  </si>
  <si>
    <t>Bv(dry)</t>
  </si>
  <si>
    <t>Q/C(wind)</t>
  </si>
  <si>
    <t>U(m)</t>
  </si>
  <si>
    <t>U(t)</t>
  </si>
  <si>
    <t>F(x)</t>
  </si>
  <si>
    <t>A</t>
  </si>
  <si>
    <t>A(s)</t>
  </si>
  <si>
    <t>B</t>
  </si>
  <si>
    <t>C</t>
  </si>
  <si>
    <t>V</t>
  </si>
  <si>
    <t>Slope</t>
  </si>
  <si>
    <t>Intercept</t>
  </si>
  <si>
    <t>Kd</t>
  </si>
  <si>
    <t>1-exp(-λt(cw))</t>
  </si>
  <si>
    <t>F&amp;V</t>
  </si>
  <si>
    <t>Egg</t>
  </si>
  <si>
    <t>IFA(r-adj)</t>
  </si>
  <si>
    <t>ET(f)</t>
  </si>
  <si>
    <t>SF(sub)</t>
  </si>
  <si>
    <t>With Halflife Decay</t>
  </si>
  <si>
    <t>Without Halflife Decay</t>
  </si>
  <si>
    <t>External</t>
  </si>
  <si>
    <t>Farmer Air</t>
  </si>
  <si>
    <t>GSF(a)</t>
  </si>
  <si>
    <t>Exposure</t>
  </si>
  <si>
    <t>SF(s)</t>
  </si>
  <si>
    <t>SF(ext-sv)</t>
  </si>
  <si>
    <t>ACF(ext-sv)</t>
  </si>
  <si>
    <t>GSF(i)</t>
  </si>
  <si>
    <t>GSF(o)</t>
  </si>
  <si>
    <t>External Exposure</t>
  </si>
  <si>
    <t>Ground Plane</t>
  </si>
  <si>
    <t>Soil Volume</t>
  </si>
  <si>
    <t>1cm</t>
  </si>
  <si>
    <t>5cm</t>
  </si>
  <si>
    <t>15cm</t>
  </si>
  <si>
    <t>M</t>
  </si>
  <si>
    <t>Ground Plane, Area Correction Factor</t>
  </si>
  <si>
    <t>1m^2</t>
  </si>
  <si>
    <t>2m^2</t>
  </si>
  <si>
    <t>5m^2</t>
  </si>
  <si>
    <t>10m^2</t>
  </si>
  <si>
    <t>20m^2</t>
  </si>
  <si>
    <t>50m^2</t>
  </si>
  <si>
    <t>100m^2</t>
  </si>
  <si>
    <t>200m^2</t>
  </si>
  <si>
    <t>500m^2</t>
  </si>
  <si>
    <t>1000m^2</t>
  </si>
  <si>
    <t>2000m^2</t>
  </si>
  <si>
    <t>5000m^2</t>
  </si>
  <si>
    <t>10000m^2</t>
  </si>
  <si>
    <t>20000m^2</t>
  </si>
  <si>
    <t>50000m^2</t>
  </si>
  <si>
    <t>100000m^2</t>
  </si>
  <si>
    <t>Infinite</t>
  </si>
  <si>
    <t>Soil Worker</t>
  </si>
  <si>
    <t>Type</t>
  </si>
  <si>
    <t>S</t>
  </si>
  <si>
    <t>G(elemental)</t>
  </si>
  <si>
    <t>G(organic)</t>
  </si>
  <si>
    <t>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</si>
</sst>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1" fontId="0" fillId="0" borderId="1" xfId="0" applyNumberFormat="1" applyBorder="1"/>
    <xf numFmtId="11" fontId="0" fillId="0" borderId="0" xfId="0" applyNumberFormat="1"/>
    <xf numFmtId="0" fontId="0" fillId="0" borderId="0" xfId="0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4" xfId="0" applyFont="1" applyBorder="1" applyAlignment="1">
      <alignment horizontal="center" vertical="center"/>
    </xf>
    <xf numFmtId="11" fontId="0" fillId="0" borderId="4" xfId="0" applyNumberFormat="1" applyBorder="1"/>
    <xf numFmtId="164" fontId="0" fillId="0" borderId="5" xfId="1" applyNumberFormat="1" applyFont="1" applyBorder="1"/>
    <xf numFmtId="11" fontId="0" fillId="0" borderId="8" xfId="0" applyNumberFormat="1" applyBorder="1" applyAlignment="1">
      <alignment horizontal="center" vertical="center"/>
    </xf>
    <xf numFmtId="164" fontId="0" fillId="0" borderId="8" xfId="1" applyNumberFormat="1" applyFont="1" applyBorder="1"/>
    <xf numFmtId="0" fontId="3" fillId="0" borderId="11" xfId="0" applyFont="1" applyBorder="1" applyAlignment="1">
      <alignment horizontal="center" vertical="center"/>
    </xf>
    <xf numFmtId="11" fontId="0" fillId="0" borderId="11" xfId="0" applyNumberFormat="1" applyBorder="1"/>
    <xf numFmtId="164" fontId="0" fillId="0" borderId="12" xfId="1" applyNumberFormat="1" applyFont="1" applyBorder="1"/>
    <xf numFmtId="11" fontId="0" fillId="0" borderId="4" xfId="0" applyNumberFormat="1" applyBorder="1" applyAlignment="1">
      <alignment horizontal="center" vertical="center"/>
    </xf>
    <xf numFmtId="11" fontId="0" fillId="0" borderId="16" xfId="0" applyNumberFormat="1" applyBorder="1"/>
    <xf numFmtId="11" fontId="0" fillId="0" borderId="17" xfId="0" applyNumberFormat="1" applyBorder="1"/>
    <xf numFmtId="11" fontId="0" fillId="0" borderId="18" xfId="0" applyNumberFormat="1" applyBorder="1"/>
    <xf numFmtId="11" fontId="0" fillId="0" borderId="19" xfId="0" applyNumberFormat="1" applyBorder="1"/>
    <xf numFmtId="0" fontId="3" fillId="0" borderId="25" xfId="0" applyFont="1" applyBorder="1" applyAlignment="1">
      <alignment horizontal="center" vertical="center"/>
    </xf>
    <xf numFmtId="11" fontId="0" fillId="0" borderId="25" xfId="0" applyNumberFormat="1" applyBorder="1"/>
    <xf numFmtId="164" fontId="0" fillId="0" borderId="26" xfId="1" applyNumberFormat="1" applyFont="1" applyBorder="1"/>
    <xf numFmtId="11" fontId="0" fillId="0" borderId="2" xfId="0" applyNumberFormat="1" applyBorder="1"/>
    <xf numFmtId="164" fontId="0" fillId="0" borderId="27" xfId="1" applyNumberFormat="1" applyFont="1" applyBorder="1"/>
    <xf numFmtId="164" fontId="0" fillId="0" borderId="1" xfId="1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1" fontId="0" fillId="0" borderId="0" xfId="0" applyNumberFormat="1" applyFill="1" applyBorder="1"/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5" borderId="1" xfId="0" applyFont="1" applyFill="1" applyBorder="1"/>
    <xf numFmtId="0" fontId="0" fillId="5" borderId="1" xfId="0" applyFill="1" applyBorder="1"/>
    <xf numFmtId="0" fontId="3" fillId="0" borderId="31" xfId="0" applyFont="1" applyBorder="1" applyAlignment="1">
      <alignment horizontal="center" vertical="center"/>
    </xf>
    <xf numFmtId="11" fontId="0" fillId="0" borderId="31" xfId="0" applyNumberFormat="1" applyBorder="1"/>
    <xf numFmtId="164" fontId="0" fillId="0" borderId="32" xfId="1" applyNumberFormat="1" applyFont="1" applyBorder="1"/>
    <xf numFmtId="164" fontId="0" fillId="0" borderId="25" xfId="1" applyNumberFormat="1" applyFont="1" applyBorder="1"/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1" fontId="6" fillId="3" borderId="11" xfId="0" applyNumberFormat="1" applyFont="1" applyFill="1" applyBorder="1"/>
    <xf numFmtId="11" fontId="7" fillId="3" borderId="11" xfId="0" applyNumberFormat="1" applyFont="1" applyFill="1" applyBorder="1"/>
    <xf numFmtId="11" fontId="7" fillId="3" borderId="20" xfId="0" applyNumberFormat="1" applyFont="1" applyFill="1" applyBorder="1"/>
    <xf numFmtId="11" fontId="7" fillId="4" borderId="21" xfId="0" applyNumberFormat="1" applyFont="1" applyFill="1" applyBorder="1"/>
    <xf numFmtId="11" fontId="7" fillId="3" borderId="2" xfId="0" applyNumberFormat="1" applyFont="1" applyFill="1" applyBorder="1"/>
    <xf numFmtId="11" fontId="7" fillId="3" borderId="14" xfId="0" applyNumberFormat="1" applyFont="1" applyFill="1" applyBorder="1"/>
    <xf numFmtId="11" fontId="7" fillId="4" borderId="22" xfId="0" applyNumberFormat="1" applyFont="1" applyFill="1" applyBorder="1"/>
    <xf numFmtId="11" fontId="0" fillId="5" borderId="16" xfId="0" applyNumberFormat="1" applyFill="1" applyBorder="1"/>
    <xf numFmtId="11" fontId="0" fillId="5" borderId="18" xfId="0" applyNumberFormat="1" applyFill="1" applyBorder="1"/>
    <xf numFmtId="11" fontId="7" fillId="5" borderId="20" xfId="0" applyNumberFormat="1" applyFont="1" applyFill="1" applyBorder="1"/>
    <xf numFmtId="11" fontId="0" fillId="5" borderId="4" xfId="0" applyNumberFormat="1" applyFill="1" applyBorder="1"/>
    <xf numFmtId="11" fontId="0" fillId="5" borderId="1" xfId="0" applyNumberFormat="1" applyFill="1" applyBorder="1"/>
    <xf numFmtId="11" fontId="7" fillId="5" borderId="11" xfId="0" applyNumberFormat="1" applyFont="1" applyFill="1" applyBorder="1"/>
    <xf numFmtId="11" fontId="7" fillId="5" borderId="2" xfId="0" applyNumberFormat="1" applyFont="1" applyFill="1" applyBorder="1"/>
    <xf numFmtId="11" fontId="0" fillId="5" borderId="25" xfId="0" applyNumberFormat="1" applyFill="1" applyBorder="1"/>
    <xf numFmtId="164" fontId="0" fillId="5" borderId="26" xfId="1" applyNumberFormat="1" applyFont="1" applyFill="1" applyBorder="1"/>
    <xf numFmtId="164" fontId="0" fillId="5" borderId="8" xfId="1" applyNumberFormat="1" applyFont="1" applyFill="1" applyBorder="1"/>
    <xf numFmtId="11" fontId="0" fillId="0" borderId="5" xfId="0" applyNumberFormat="1" applyBorder="1"/>
    <xf numFmtId="11" fontId="0" fillId="0" borderId="8" xfId="0" applyNumberFormat="1" applyBorder="1"/>
    <xf numFmtId="0" fontId="3" fillId="0" borderId="11" xfId="0" applyFont="1" applyBorder="1" applyAlignment="1">
      <alignment horizontal="center" vertical="center" wrapText="1"/>
    </xf>
    <xf numFmtId="11" fontId="6" fillId="6" borderId="11" xfId="0" applyNumberFormat="1" applyFont="1" applyFill="1" applyBorder="1"/>
    <xf numFmtId="11" fontId="6" fillId="6" borderId="12" xfId="0" applyNumberFormat="1" applyFont="1" applyFill="1" applyBorder="1"/>
    <xf numFmtId="11" fontId="0" fillId="0" borderId="5" xfId="0" applyNumberFormat="1" applyBorder="1" applyAlignment="1">
      <alignment horizontal="center" vertical="center"/>
    </xf>
    <xf numFmtId="11" fontId="6" fillId="3" borderId="11" xfId="0" applyNumberFormat="1" applyFont="1" applyFill="1" applyBorder="1" applyAlignment="1">
      <alignment horizontal="center" vertical="center"/>
    </xf>
    <xf numFmtId="11" fontId="6" fillId="3" borderId="1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3" xfId="0" applyBorder="1"/>
    <xf numFmtId="11" fontId="6" fillId="3" borderId="2" xfId="0" applyNumberFormat="1" applyFont="1" applyFill="1" applyBorder="1" applyAlignment="1">
      <alignment horizontal="center" vertical="center"/>
    </xf>
    <xf numFmtId="11" fontId="6" fillId="3" borderId="27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9" fontId="3" fillId="8" borderId="34" xfId="1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9" fontId="3" fillId="8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/>
    <xf numFmtId="0" fontId="0" fillId="0" borderId="0" xfId="0" applyFont="1" applyFill="1"/>
    <xf numFmtId="11" fontId="6" fillId="3" borderId="12" xfId="0" applyNumberFormat="1" applyFont="1" applyFill="1" applyBorder="1"/>
    <xf numFmtId="0" fontId="9" fillId="7" borderId="4" xfId="0" applyFont="1" applyFill="1" applyBorder="1" applyAlignment="1">
      <alignment horizontal="center" vertical="center"/>
    </xf>
    <xf numFmtId="11" fontId="3" fillId="0" borderId="1" xfId="0" applyNumberFormat="1" applyFont="1" applyBorder="1"/>
    <xf numFmtId="11" fontId="3" fillId="0" borderId="11" xfId="0" applyNumberFormat="1" applyFont="1" applyBorder="1"/>
    <xf numFmtId="11" fontId="6" fillId="0" borderId="0" xfId="0" applyNumberFormat="1" applyFont="1" applyFill="1" applyBorder="1"/>
    <xf numFmtId="0" fontId="0" fillId="0" borderId="38" xfId="0" applyBorder="1"/>
    <xf numFmtId="9" fontId="0" fillId="0" borderId="27" xfId="0" applyNumberFormat="1" applyBorder="1" applyAlignment="1">
      <alignment horizontal="center" vertical="center"/>
    </xf>
    <xf numFmtId="11" fontId="0" fillId="5" borderId="11" xfId="0" applyNumberFormat="1" applyFill="1" applyBorder="1"/>
    <xf numFmtId="164" fontId="0" fillId="5" borderId="12" xfId="1" applyNumberFormat="1" applyFont="1" applyFill="1" applyBorder="1"/>
    <xf numFmtId="0" fontId="0" fillId="0" borderId="11" xfId="0" applyBorder="1" applyAlignment="1">
      <alignment horizontal="center" vertical="center"/>
    </xf>
    <xf numFmtId="11" fontId="6" fillId="5" borderId="11" xfId="0" applyNumberFormat="1" applyFont="1" applyFill="1" applyBorder="1"/>
    <xf numFmtId="11" fontId="0" fillId="5" borderId="5" xfId="0" applyNumberFormat="1" applyFill="1" applyBorder="1"/>
    <xf numFmtId="11" fontId="0" fillId="5" borderId="8" xfId="0" applyNumberFormat="1" applyFill="1" applyBorder="1"/>
    <xf numFmtId="0" fontId="0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/>
    <xf numFmtId="0" fontId="3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0" fillId="5" borderId="8" xfId="0" applyFill="1" applyBorder="1"/>
    <xf numFmtId="11" fontId="0" fillId="0" borderId="12" xfId="0" applyNumberFormat="1" applyBorder="1"/>
    <xf numFmtId="0" fontId="3" fillId="9" borderId="45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46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11" fontId="3" fillId="0" borderId="4" xfId="0" applyNumberFormat="1" applyFont="1" applyBorder="1" applyAlignment="1">
      <alignment horizontal="center" vertical="center"/>
    </xf>
    <xf numFmtId="11" fontId="3" fillId="0" borderId="47" xfId="0" applyNumberFormat="1" applyFont="1" applyBorder="1" applyAlignment="1">
      <alignment horizontal="center" vertical="center"/>
    </xf>
    <xf numFmtId="11" fontId="3" fillId="0" borderId="40" xfId="0" applyNumberFormat="1" applyFont="1" applyBorder="1" applyAlignment="1">
      <alignment horizontal="center" vertical="center"/>
    </xf>
    <xf numFmtId="11" fontId="3" fillId="0" borderId="5" xfId="0" applyNumberFormat="1" applyFont="1" applyBorder="1" applyAlignment="1">
      <alignment horizontal="center" vertical="center"/>
    </xf>
    <xf numFmtId="11" fontId="3" fillId="0" borderId="39" xfId="0" applyNumberFormat="1" applyFont="1" applyBorder="1" applyAlignment="1">
      <alignment horizontal="center" vertical="center"/>
    </xf>
    <xf numFmtId="11" fontId="3" fillId="0" borderId="49" xfId="0" applyNumberFormat="1" applyFont="1" applyBorder="1" applyAlignment="1">
      <alignment horizontal="center" vertical="center"/>
    </xf>
    <xf numFmtId="11" fontId="3" fillId="0" borderId="8" xfId="0" applyNumberFormat="1" applyFont="1" applyBorder="1" applyAlignment="1">
      <alignment horizontal="center" vertical="center"/>
    </xf>
    <xf numFmtId="11" fontId="11" fillId="3" borderId="41" xfId="0" applyNumberFormat="1" applyFont="1" applyFill="1" applyBorder="1" applyAlignment="1">
      <alignment horizontal="center" vertical="center"/>
    </xf>
    <xf numFmtId="11" fontId="11" fillId="3" borderId="11" xfId="0" applyNumberFormat="1" applyFont="1" applyFill="1" applyBorder="1" applyAlignment="1">
      <alignment horizontal="center" vertical="center"/>
    </xf>
    <xf numFmtId="11" fontId="11" fillId="4" borderId="51" xfId="0" applyNumberFormat="1" applyFont="1" applyFill="1" applyBorder="1" applyAlignment="1">
      <alignment horizontal="center" vertical="center"/>
    </xf>
    <xf numFmtId="11" fontId="11" fillId="4" borderId="12" xfId="0" applyNumberFormat="1" applyFont="1" applyFill="1" applyBorder="1" applyAlignment="1">
      <alignment horizontal="center" vertical="center"/>
    </xf>
    <xf numFmtId="11" fontId="3" fillId="5" borderId="4" xfId="0" applyNumberFormat="1" applyFont="1" applyFill="1" applyBorder="1" applyAlignment="1">
      <alignment horizontal="center" vertical="center"/>
    </xf>
    <xf numFmtId="11" fontId="3" fillId="5" borderId="1" xfId="0" applyNumberFormat="1" applyFont="1" applyFill="1" applyBorder="1" applyAlignment="1">
      <alignment horizontal="center" vertical="center"/>
    </xf>
    <xf numFmtId="11" fontId="11" fillId="5" borderId="11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11" fontId="3" fillId="0" borderId="4" xfId="0" applyNumberFormat="1" applyFont="1" applyBorder="1"/>
    <xf numFmtId="164" fontId="3" fillId="0" borderId="5" xfId="1" applyNumberFormat="1" applyFont="1" applyBorder="1"/>
    <xf numFmtId="0" fontId="3" fillId="9" borderId="1" xfId="0" applyFont="1" applyFill="1" applyBorder="1" applyAlignment="1">
      <alignment horizontal="center" vertical="center"/>
    </xf>
    <xf numFmtId="164" fontId="3" fillId="0" borderId="8" xfId="1" applyNumberFormat="1" applyFont="1" applyBorder="1"/>
    <xf numFmtId="0" fontId="3" fillId="9" borderId="54" xfId="0" applyFont="1" applyFill="1" applyBorder="1" applyAlignment="1">
      <alignment horizontal="center" vertical="center"/>
    </xf>
    <xf numFmtId="11" fontId="3" fillId="0" borderId="54" xfId="0" applyNumberFormat="1" applyFont="1" applyBorder="1"/>
    <xf numFmtId="164" fontId="3" fillId="0" borderId="55" xfId="1" applyNumberFormat="1" applyFont="1" applyBorder="1"/>
    <xf numFmtId="0" fontId="3" fillId="8" borderId="25" xfId="0" applyFont="1" applyFill="1" applyBorder="1" applyAlignment="1">
      <alignment horizontal="center" vertical="center"/>
    </xf>
    <xf numFmtId="11" fontId="3" fillId="0" borderId="25" xfId="0" applyNumberFormat="1" applyFont="1" applyBorder="1"/>
    <xf numFmtId="164" fontId="3" fillId="0" borderId="26" xfId="1" applyNumberFormat="1" applyFont="1" applyBorder="1"/>
    <xf numFmtId="0" fontId="3" fillId="8" borderId="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164" fontId="3" fillId="0" borderId="12" xfId="1" applyNumberFormat="1" applyFont="1" applyBorder="1"/>
    <xf numFmtId="11" fontId="3" fillId="5" borderId="1" xfId="0" applyNumberFormat="1" applyFont="1" applyFill="1" applyBorder="1"/>
    <xf numFmtId="164" fontId="3" fillId="5" borderId="8" xfId="1" applyNumberFormat="1" applyFont="1" applyFill="1" applyBorder="1"/>
    <xf numFmtId="0" fontId="3" fillId="0" borderId="6" xfId="0" applyFont="1" applyBorder="1"/>
    <xf numFmtId="0" fontId="3" fillId="7" borderId="16" xfId="0" applyFont="1" applyFill="1" applyBorder="1" applyAlignment="1">
      <alignment horizontal="center" vertical="center"/>
    </xf>
    <xf numFmtId="11" fontId="3" fillId="0" borderId="18" xfId="0" applyNumberFormat="1" applyFont="1" applyBorder="1"/>
    <xf numFmtId="11" fontId="3" fillId="0" borderId="8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1" fontId="3" fillId="0" borderId="20" xfId="0" applyNumberFormat="1" applyFont="1" applyBorder="1"/>
    <xf numFmtId="11" fontId="3" fillId="0" borderId="12" xfId="0" applyNumberFormat="1" applyFont="1" applyBorder="1"/>
    <xf numFmtId="0" fontId="0" fillId="0" borderId="17" xfId="0" applyFont="1" applyBorder="1"/>
    <xf numFmtId="0" fontId="0" fillId="0" borderId="21" xfId="0" applyFont="1" applyBorder="1"/>
    <xf numFmtId="0" fontId="5" fillId="2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52" xfId="0" applyFont="1" applyBorder="1"/>
    <xf numFmtId="0" fontId="0" fillId="0" borderId="45" xfId="0" applyFont="1" applyBorder="1"/>
    <xf numFmtId="0" fontId="0" fillId="0" borderId="2" xfId="0" applyFont="1" applyBorder="1"/>
    <xf numFmtId="0" fontId="3" fillId="10" borderId="2" xfId="0" applyFont="1" applyFill="1" applyBorder="1" applyAlignment="1">
      <alignment horizontal="center" vertical="center"/>
    </xf>
    <xf numFmtId="9" fontId="3" fillId="10" borderId="34" xfId="1" applyFont="1" applyFill="1" applyBorder="1" applyAlignment="1">
      <alignment horizontal="center" vertical="center"/>
    </xf>
    <xf numFmtId="0" fontId="0" fillId="0" borderId="53" xfId="0" applyFont="1" applyBorder="1"/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1" fontId="0" fillId="0" borderId="1" xfId="0" applyNumberFormat="1" applyFill="1" applyBorder="1"/>
    <xf numFmtId="164" fontId="0" fillId="5" borderId="27" xfId="1" applyNumberFormat="1" applyFont="1" applyFill="1" applyBorder="1"/>
    <xf numFmtId="166" fontId="0" fillId="0" borderId="0" xfId="0" applyNumberFormat="1"/>
    <xf numFmtId="11" fontId="0" fillId="0" borderId="0" xfId="0" applyNumberFormat="1" applyBorder="1"/>
    <xf numFmtId="11" fontId="6" fillId="5" borderId="12" xfId="0" applyNumberFormat="1" applyFont="1" applyFill="1" applyBorder="1"/>
    <xf numFmtId="0" fontId="0" fillId="0" borderId="9" xfId="0" applyBorder="1" applyAlignment="1">
      <alignment horizontal="center" vertical="center"/>
    </xf>
    <xf numFmtId="11" fontId="7" fillId="5" borderId="14" xfId="0" applyNumberFormat="1" applyFont="1" applyFill="1" applyBorder="1"/>
    <xf numFmtId="11" fontId="0" fillId="0" borderId="25" xfId="0" applyNumberFormat="1" applyFill="1" applyBorder="1"/>
    <xf numFmtId="11" fontId="0" fillId="5" borderId="2" xfId="0" applyNumberFormat="1" applyFill="1" applyBorder="1"/>
    <xf numFmtId="164" fontId="0" fillId="5" borderId="5" xfId="1" applyNumberFormat="1" applyFont="1" applyFill="1" applyBorder="1"/>
    <xf numFmtId="0" fontId="0" fillId="7" borderId="24" xfId="0" applyFill="1" applyBorder="1"/>
    <xf numFmtId="0" fontId="3" fillId="7" borderId="0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0" fillId="0" borderId="24" xfId="0" applyBorder="1"/>
    <xf numFmtId="11" fontId="0" fillId="0" borderId="53" xfId="0" applyNumberFormat="1" applyBorder="1"/>
    <xf numFmtId="0" fontId="0" fillId="11" borderId="24" xfId="0" applyFill="1" applyBorder="1"/>
    <xf numFmtId="0" fontId="3" fillId="11" borderId="0" xfId="0" applyFont="1" applyFill="1" applyBorder="1" applyAlignment="1">
      <alignment horizontal="center" vertical="center"/>
    </xf>
    <xf numFmtId="0" fontId="3" fillId="11" borderId="53" xfId="0" applyFont="1" applyFill="1" applyBorder="1" applyAlignment="1">
      <alignment horizontal="center" vertical="center"/>
    </xf>
    <xf numFmtId="0" fontId="0" fillId="0" borderId="28" xfId="0" applyBorder="1"/>
    <xf numFmtId="0" fontId="0" fillId="0" borderId="57" xfId="0" applyBorder="1" applyAlignment="1">
      <alignment horizontal="center" vertical="center"/>
    </xf>
    <xf numFmtId="11" fontId="0" fillId="0" borderId="57" xfId="0" applyNumberFormat="1" applyBorder="1"/>
    <xf numFmtId="11" fontId="0" fillId="0" borderId="58" xfId="0" applyNumberFormat="1" applyBorder="1"/>
    <xf numFmtId="0" fontId="0" fillId="8" borderId="24" xfId="0" applyFill="1" applyBorder="1"/>
    <xf numFmtId="0" fontId="3" fillId="8" borderId="0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horizontal="center" vertical="center"/>
    </xf>
    <xf numFmtId="0" fontId="0" fillId="12" borderId="24" xfId="0" applyFill="1" applyBorder="1"/>
    <xf numFmtId="0" fontId="3" fillId="12" borderId="0" xfId="0" applyFont="1" applyFill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0" fillId="3" borderId="24" xfId="0" applyFill="1" applyBorder="1"/>
    <xf numFmtId="0" fontId="3" fillId="3" borderId="0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11" fontId="0" fillId="0" borderId="53" xfId="0" applyNumberFormat="1" applyFont="1" applyFill="1" applyBorder="1" applyAlignment="1">
      <alignment horizontal="right" vertical="center"/>
    </xf>
    <xf numFmtId="11" fontId="0" fillId="0" borderId="53" xfId="0" applyNumberFormat="1" applyBorder="1" applyAlignment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0" xfId="0" applyBorder="1"/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5" borderId="2" xfId="0" applyFont="1" applyFill="1" applyBorder="1"/>
    <xf numFmtId="0" fontId="0" fillId="5" borderId="2" xfId="0" applyFill="1" applyBorder="1"/>
    <xf numFmtId="0" fontId="0" fillId="5" borderId="27" xfId="0" applyFill="1" applyBorder="1"/>
    <xf numFmtId="0" fontId="3" fillId="7" borderId="40" xfId="0" applyFont="1" applyFill="1" applyBorder="1" applyAlignment="1">
      <alignment horizontal="center" vertical="center"/>
    </xf>
    <xf numFmtId="0" fontId="3" fillId="0" borderId="2" xfId="0" applyFont="1" applyBorder="1"/>
    <xf numFmtId="11" fontId="3" fillId="0" borderId="14" xfId="0" applyNumberFormat="1" applyFont="1" applyBorder="1"/>
    <xf numFmtId="0" fontId="3" fillId="0" borderId="3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60" xfId="0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0" fontId="0" fillId="0" borderId="0" xfId="0" applyFill="1" applyBorder="1" applyAlignment="1">
      <alignment vertical="center" textRotation="90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4" xfId="0" applyFill="1" applyBorder="1"/>
    <xf numFmtId="0" fontId="0" fillId="0" borderId="0" xfId="0" applyFill="1" applyBorder="1" applyAlignment="1"/>
    <xf numFmtId="0" fontId="0" fillId="0" borderId="24" xfId="0" applyFill="1" applyBorder="1" applyAlignment="1"/>
    <xf numFmtId="0" fontId="0" fillId="0" borderId="57" xfId="0" applyBorder="1"/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3" fillId="0" borderId="3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10" borderId="42" xfId="0" applyFont="1" applyFill="1" applyBorder="1" applyAlignment="1">
      <alignment horizontal="center"/>
    </xf>
    <xf numFmtId="0" fontId="6" fillId="10" borderId="43" xfId="0" applyFont="1" applyFill="1" applyBorder="1" applyAlignment="1">
      <alignment horizontal="center"/>
    </xf>
    <xf numFmtId="0" fontId="6" fillId="10" borderId="44" xfId="0" applyFont="1" applyFill="1" applyBorder="1" applyAlignment="1">
      <alignment horizontal="center"/>
    </xf>
    <xf numFmtId="0" fontId="10" fillId="8" borderId="35" xfId="0" applyFont="1" applyFill="1" applyBorder="1" applyAlignment="1">
      <alignment horizontal="center"/>
    </xf>
    <xf numFmtId="0" fontId="10" fillId="8" borderId="36" xfId="0" applyFont="1" applyFill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0" fillId="9" borderId="40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3" fillId="0" borderId="40" xfId="0" applyFont="1" applyBorder="1" applyAlignment="1">
      <alignment horizontal="center" vertical="center" textRotation="90"/>
    </xf>
    <xf numFmtId="0" fontId="3" fillId="0" borderId="39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11" borderId="23" xfId="0" applyFill="1" applyBorder="1" applyAlignment="1">
      <alignment horizontal="center"/>
    </xf>
    <xf numFmtId="0" fontId="0" fillId="11" borderId="56" xfId="0" applyFill="1" applyBorder="1" applyAlignment="1">
      <alignment horizontal="center"/>
    </xf>
    <xf numFmtId="0" fontId="0" fillId="11" borderId="52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56" xfId="0" applyFill="1" applyBorder="1" applyAlignment="1">
      <alignment horizontal="center"/>
    </xf>
    <xf numFmtId="0" fontId="0" fillId="12" borderId="52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56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52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8"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200026</xdr:colOff>
      <xdr:row>1</xdr:row>
      <xdr:rowOff>44163</xdr:rowOff>
    </xdr:from>
    <xdr:ext cx="7125566" cy="7800974"/>
    <xdr:sp macro="" textlink="">
      <xdr:nvSpPr>
        <xdr:cNvPr id="2" name="TextBox 1"/>
        <xdr:cNvSpPr txBox="1"/>
      </xdr:nvSpPr>
      <xdr:spPr>
        <a:xfrm>
          <a:off x="8079799" y="234663"/>
          <a:ext cx="7125566" cy="780097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Consumption of fruits</a:t>
          </a:r>
          <a:r>
            <a:rPr lang="en-US" sz="1100" b="1" u="sng" baseline="0"/>
            <a:t> and vegetables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_"f−prod−ing"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"TR" /("S" "F" _"f"  " " ("risk" /"pCi" )" x " ("IF" "F" _"f−adj"  " " ("2,262,400 g" )"+IF" "V" _"f−adj"  " " ("1,589,350 g" ))" x CP" "F" _"f"  " " ("1.0" ) 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"F" 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("2,262,400 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_"f−c"  " " ("350 day" /"yr" )" x E" "D" _"f−c"  " " ("6 yr" )" x IR" "F" _"f−c"  " " ("68.1 g" 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_"f−a"  " " ("350 day" /"yr" )" x E" "D" _"f−a"  " " ("34 yr" )" x IR" "F" _"f−a"  " " ("178.1 g" /"day" ))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"F" 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("1,589,350 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_"f−c"  " " ("350 day" /"yr" )" x E" "D" _"f−c"  " " ("6 yr" )" x IR" "V" _"f−c"  " " ("41.7 g" 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_"f−a"  " " ("350 day" /"yr" )" x E" "D" _"f−a"  " " ("34 yr" )" x IR" "V" _"f−a"  " " ("126.2 g" /"day" ))</a:t>
          </a:r>
          <a:endParaRPr lang="en-US" sz="1100" baseline="0"/>
        </a:p>
        <a:p>
          <a:r>
            <a:rPr lang="en-US" sz="1100" b="1" u="sng" baseline="0"/>
            <a:t>Consumption of poultry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_"f−po−ing"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"TR" /("S" "F" _"f"  " " ("risk" /"pCi" )" x " ├ "IF" "P" _"f−adj"  " " ("1,136,910 g" )┤"x C" "F" _"po"  " " ("1.0" ) 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"P" 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("1,136,910 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_"f−c"  " " ("350 day" /"yr" )" x E" "D" _"f−c"  " " ("6 yr" )" x IR" "P" _"f−c"  " " ("23.6 g" 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_"f−a"  " " ("350 day" /"yr" )" x E" "D" _"f−a"  " " ("34 yr" )" x IR" "P" _"f−a"  " " ("106.5 g" /"day" ))</a:t>
          </a:r>
          <a:endParaRPr lang="en-US" sz="1100" baseline="0"/>
        </a:p>
        <a:p>
          <a:r>
            <a:rPr lang="en-US" sz="1100" b="1" u="sng" baseline="0"/>
            <a:t>Consumption of eggs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_"f−egg−ing"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"TR" /("S" "F" _"f"  " " ("risk" /"pCi" )" x " ├ "IF" "E" _"f−adj"  " " ("657,265 g" )┤"x C" "F" _"egg"  " " ("1.0" ) 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"E" 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("657,265 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_"f−c"  " " ("350 day" /"yr" )" x E" "D" _"f−c"  " " ("6 yr" )" x IR" "E" _"f−c"  " " ("10.95 g" 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_"f−a"  " " ("350 day" /"yr" )" x E" "D" _"f−a"  " " ("34 yr" )" x IR" "E" _"f−a"  " " ("53.3 g" /"day" ))</a:t>
          </a:r>
          <a:endParaRPr lang="en-US" sz="1100" baseline="0"/>
        </a:p>
        <a:p>
          <a:r>
            <a:rPr lang="en-US" sz="1100" b="1" u="sng" baseline="0"/>
            <a:t>Consumption of beef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_"f−beef−ing"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"TR" /("S" "F" _"f"  " " ("risk" /"pCi" )" x " ├ "IF" "B" _"f−adj"  " " ("2,222,640 g" )┤"x C" "F" _"beef"  " " ("1.0" ) 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"B" 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("2,222,640 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_"f−c"  " " ("350 day" /"yr" )" x E" "D" _"f−c"  " " ("6 yr" )" x IR" "B" _"f−c"  " " ("40.1 g" 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_"f−a"  " " ("350 day" /"yr" )" x E" "D" _"f−a"  " " ("34 yr" )" x IR" "B" _"f−a"  " " ("179.7 g" /"day" ))</a:t>
          </a:r>
          <a:endParaRPr lang="en-US" sz="1100" baseline="0"/>
        </a:p>
        <a:p>
          <a:r>
            <a:rPr lang="en-US" sz="1100" b="1" u="sng" baseline="0"/>
            <a:t>Consumption of milk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_"f−dairy−ing"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"TR" /("S" "F" _"f"  " " ("risk" /"pCi" )" x " ├ "IF" "D" _"f−adj"  " " ("6,036,590 g" )┤"x C" "F" _"dairy"  " " ("1.0" ) 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"D" 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("6,036,590 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_"f−c"  " " ("350 day" /"yr" )" x E" "D" _"f−c"  " " ("6 yr" )" x IR" "D" _"f−c"  " " ("349.5 g" 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_"f−a"  " " ("350 day" /"yr" )" x E" "D" _"f−a"  " " ("34 yr" )" x IR" "D" _"f−a"  " " ("445.6 g" /"day" ))</a:t>
          </a:r>
          <a:endParaRPr lang="en-US" sz="1100" b="1" u="sng" baseline="0"/>
        </a:p>
        <a:p>
          <a:r>
            <a:rPr lang="en-US" sz="1100" b="1" u="sng" baseline="0"/>
            <a:t>Consumption of swine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_"f−sw−ing"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"TR" /("S" "F" _"f"  " " ("risk" /"pCi" )" x " ├ "IF" 〖"SW" 〗_"f−adj"  " " ("1,202,670 g" )┤"x C" "F" _"sw"  " " ("1.0" ) 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〖"SW" 〗_"f−adj"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("1,202,670 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_"f−c"  " " ("350 day" /"yr" )" x E" "D" _"f−c"  " " ("6 yr" )" x IR" 〖"SW" 〗_"f−c"  " " ("18.5 g" 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_"f−a"  " " ("350 day" /"yr" )" x E" "D" _"f−a"  " " ("34 yr" )" x IR" 〖"SW" 〗_"f−a"  " " ("97.8 g" /"day" ))</a:t>
          </a:r>
          <a:endParaRPr lang="en-US" sz="1100" baseline="0"/>
        </a:p>
        <a:p>
          <a:r>
            <a:rPr lang="en-US" sz="1100" b="1" u="sng" baseline="0"/>
            <a:t>Consumption of fish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_"f−fish−ing"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"TR" /("S" "F" _"f"  " " ("risk" /"pCi" )" x " ├ "IF" 〖"FI" 〗_"f−adj"  " " ("1,932,420 g" )┤"x C" "F" _"fish"  " " ("1.0" ) 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〖"FI" 〗_"f−adj"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("1,932,420 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_"f−c"  " " ("350 day" /"yr" )" x E" "D" _"f−c"  " " ("6 yr" )" x IR" 〖"FI" 〗_"f−c"  " " ("32.8 g" 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_"f−a"  " " ("350 day" /"yr" )" x E" "D" _"f−a"  " " ("34 yr" )" x IR" 〖"FI" 〗_"f−a"  " " ("156.6 g" /"day" ))</a:t>
          </a:r>
          <a:endParaRPr lang="en-US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71439</xdr:rowOff>
    </xdr:from>
    <xdr:ext cx="19812000" cy="5221740"/>
    <xdr:sp macro="" textlink="">
      <xdr:nvSpPr>
        <xdr:cNvPr id="3" name="TextBox 2"/>
        <xdr:cNvSpPr txBox="1"/>
      </xdr:nvSpPr>
      <xdr:spPr>
        <a:xfrm>
          <a:off x="619125" y="8977314"/>
          <a:ext cx="19812000" cy="522174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Ingestion of Tapwater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"TR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IF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"f−adj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"31,388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)"IF"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"f−adj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"31,388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"6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IR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"0.78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))"+"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"34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IR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"2.5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Inhalation (Only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calculated for C-14, H-3, Ra-224, Ra-226, and Ra-226+D)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"water−f−inh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"TR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IF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"f−adj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"259,000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K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"0.5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)"IF"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"f−adj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"259,000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)"="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"6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IR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))"+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"34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IR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"20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Immersion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"water−f−imm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"TR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"imm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"8760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DF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"f−adj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"9583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)"DF"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"f−adj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"9583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"6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event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"f−c−event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"0.54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"event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))"+"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"34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event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"f−a−event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"0.71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"event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pPr eaLnBrk="1" fontAlgn="auto" latinLnBrk="0" hangingPunct="1"/>
          <a:r>
            <a:rPr lang="en-US" b="1" u="sng">
              <a:effectLst/>
            </a:rPr>
            <a:t>Total Tapwater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_"water−f−tot"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∕"L"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_"water−f−ing"  ) "+"  "1" /("PR" "G" _"water−f−inh"  ) "+"  "1" /("PR" "G" _"water−f−imm"  ) "+"  "1" /("PR" "G" _"water−f−prod−ing"  ))</a:t>
          </a:r>
          <a:endParaRPr lang="en-US">
            <a:effectLst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en-US" b="1" u="sng">
              <a:effectLst/>
            </a:rPr>
            <a:t>Consumption of fruits and vegetables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"water−f−prod−ing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"f−prod−ing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"1000 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"rup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"+Ir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"+Ir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"dep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))┤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"rup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"Ir x F x B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"wet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[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])/(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</a:t>
          </a:r>
          <a:r>
            <a:rPr lang="en-US" sz="110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  ;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Ir"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"Ir x F x MLF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[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]/(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</a:t>
          </a:r>
          <a:r>
            <a:rPr lang="en-US" sz="110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  ;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Ir"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"Ir x F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x T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[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])/(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</a:t>
          </a:r>
          <a:r>
            <a:rPr lang="en-US" sz="110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  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r>
            <a:rPr lang="en-US" b="1" u="sng">
              <a:effectLst/>
            </a:rPr>
            <a:t>Consumption of eggs</a:t>
          </a:r>
          <a:endParaRPr lang="en-US" sz="1100" b="1" i="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"water−f−egg−ing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"f−egg−ing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"egg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"Q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"w−po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"0.4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x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"1000 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pPr eaLnBrk="1" fontAlgn="auto" latinLnBrk="0" hangingPunct="1"/>
          <a:r>
            <a:rPr lang="en-US" b="1" u="sng">
              <a:effectLst/>
            </a:rPr>
            <a:t>Consumption poultry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"water−f−po−ing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"f−po−ing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"po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"Q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"w−po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"0.4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"1000 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pPr eaLnBrk="1" fontAlgn="auto" latinLnBrk="0" hangingPunct="1"/>
          <a:r>
            <a:rPr lang="en-US" b="1" u="sng">
              <a:effectLst/>
            </a:rPr>
            <a:t>Consumption</a:t>
          </a:r>
          <a:r>
            <a:rPr lang="en-US" b="1" u="sng" baseline="0">
              <a:effectLst/>
            </a:rPr>
            <a:t> of fish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"water−f−fish−ing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"f−fish−ing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"BCF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)┤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"1000 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 baseline="0">
            <a:effectLst/>
          </a:endParaRPr>
        </a:p>
        <a:p>
          <a:pPr eaLnBrk="1" fontAlgn="auto" latinLnBrk="0" hangingPunct="1"/>
          <a:r>
            <a:rPr lang="en-US" b="1" u="sng" baseline="0">
              <a:effectLst/>
            </a:rPr>
            <a:t>Consumption of beef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"water−f−beef−ing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"f−beef−ing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"beef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"Q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"w−beef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"53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"1000 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pPr eaLnBrk="1" fontAlgn="auto" latinLnBrk="0" hangingPunct="1"/>
          <a:r>
            <a:rPr lang="en-US" b="1" u="sng" baseline="0">
              <a:effectLst/>
            </a:rPr>
            <a:t>Consumption of milk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"water−f−dairy−ing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"f−dairy−ing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"dairy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</a:t>
          </a:r>
          <a:r>
            <a:rPr lang="el-GR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</a:t>
          </a:r>
          <a:r>
            <a:rPr lang="el-GR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ρ</a:t>
          </a:r>
          <a:r>
            <a:rPr lang="el-GR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_"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("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1.03 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/"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1 L milk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)^"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−1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x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"Q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"w−dairy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"92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"1000 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pPr eaLnBrk="1" fontAlgn="auto" latinLnBrk="0" hangingPunct="1"/>
          <a:r>
            <a:rPr lang="en-US" b="1" u="sng" baseline="0">
              <a:effectLst/>
            </a:rPr>
            <a:t>Consumption of swine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"water−f−sw−ing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"f−sw−ing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"Q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"w−sw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"11.4 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"1000 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r>
            <a:rPr lang="en-US" b="1" u="sng">
              <a:effectLst/>
            </a:rPr>
            <a:t>Total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_"water−f−tot"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∕"L"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_"water−f−ing"  ) "+"  "1" /("PR" "G" _"water−f−inh"  ) "+"  "1" /("PR" "G" _"water−f−imm"  ) "+"  "1" /("PR" "G" _"water−f−prod−ing"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"1" /("PR" "G" _"water−f−egg−ing"  ) "+"  "1" /("PR" "G" _"water−f−po−ing"  ) "+"  "1" /("PR" "G" _"water−f−fish−ing"  ) "+"  "1" /("PR" "G" _"water−f−beef−ing"  ) "+"  "1" /("PR" "G" _"water−f−dairy−ing"  ) "+"  "1" /("PR" "G" _"water−f−sw−ing"  ))</a:t>
          </a:r>
          <a:endParaRPr lang="en-US">
            <a:effectLst/>
          </a:endParaRPr>
        </a:p>
        <a:p>
          <a:endParaRPr lang="en-US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214313</xdr:colOff>
      <xdr:row>32</xdr:row>
      <xdr:rowOff>1</xdr:rowOff>
    </xdr:from>
    <xdr:ext cx="14382750" cy="5976937"/>
    <xdr:sp macro="" textlink="">
      <xdr:nvSpPr>
        <xdr:cNvPr id="2" name="TextBox 1"/>
        <xdr:cNvSpPr txBox="1"/>
      </xdr:nvSpPr>
      <xdr:spPr>
        <a:xfrm>
          <a:off x="1452563" y="6238876"/>
          <a:ext cx="14382750" cy="597693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Incidental ingestion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soil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_"f−soil−ing"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("TR x " "t" _"f"  " " ("years" )" x λ " ("1" /"years" ))/(("1−" "e" ^("−λ" "t" _"f"  ) )" x S" "F" _"s"  " " ("risk" /"pCi" )"x IF" "S" _"f−adj"  " " ("1,610,000 mg" )" x " ("g" /"1000 mg" )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"S" 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("1,610,000 mg"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(("E" "F" _"f−c"  " " (("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350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"day" )/"yr" )" x E" "D" _"f−c"  " " ("6 yr" )" x IR" "S" _"f−c"  " " ("200 mg" /"day" ))"+" ("E" "F" _"f−a"  " " ("350 day" /"yr" )" x E" "D" _"f−a"  " " ("34 yr" )" x IR" "S" _"f−a"  " " ("100 mg" /"day" )))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Inhalation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particulates emitted from soil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_"f−soil−inh"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("TR x " "t" _"f"  " " ("years" )" x λ " ("1" /"years" ))/(("1−" "e" ^("−λ" "t" _"f"  ) )" x S" "F" _"i"  " " ("risk" /"pCi" )"x IF" "A" _"f−adj"  " " (〖"259,000 m" 〗^"3"  )" x " ("1" /"PEF " ("m" ^"3" /"kg" ) )" x " ("1000 g" /"kg" ) 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"A" _"f−adj"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(〖"259,000 m" 〗^"3"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(("E" "F" _"f−c"  " " (("350"  "day" )/"yr" )" x E" "D" _"f−c"  " " ("6 yr" )" x E" "T" _"f−c"  " " ("24 hr" /"day" )" x " ("1 day" /"24 hrs" )"x IR" "A" _"f−c"  " " (("10 " "m" ^"3" )/"day" ))"+" ("E" "F" _"f−a"  " " ("350 day" /"yr" )" x E" "D" _"f−a"  " " ("34 yr" )" x E" "T" _"f−a"  " " ("24 hr" /"day" )" x " ("1 day" /"24 hrs" )"x IR" "A" _"f−a"  " " (("20 " "m" ^"3" )/"day" )))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exposure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ionizing radiation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_"f−soil−ext"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("TR x " "t" _"f"  " " ("years" )" x λ " ("1" /"years" ))/(("1−" "e" ^("−λ" "t" _"f"  ) )" x S" "F" _"ext−sv"  " " ("risk/yr" /"pCi/g" )"x E" "F" _"f"  " " ("350 days" /"year" )" x " ("1 yr" /"365 days" )" x E" "D" _"f"  " " ("40 yrs" )" x " [("E" "T" _"f−o"  " " ("12.168 hr" /"day" )" x " ("1 day" /"24 hr" )" x GS" "F" _"o"  " " ("1.0" ))"+" ("E" "T" _"f−i"  " " ("10.008 hr" /"day" )" x " ("1 day" /"24 hr" )" x GS" "F" _"i"  " " ("0.4" ))]" x AC" "F" _"ext−sv"  )</a:t>
          </a:r>
          <a:endParaRPr lang="en-US">
            <a:effectLst/>
          </a:endParaRPr>
        </a:p>
        <a:p>
          <a:pPr eaLnBrk="1" fontAlgn="auto" latinLnBrk="0" hangingPunct="1"/>
          <a:r>
            <a:rPr lang="en-US" b="1" u="sng">
              <a:effectLst/>
            </a:rPr>
            <a:t>Consumption of fruits and vegetables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_"soil−f−prod−ing"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_"f−prod−ing"  " " ("pCi" ∕"g" ))/" " ├ " " ("R" _"upv"  "+" "R" _"es"  )┤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))/(("1−" "e" ^("−λ" "t" _"f"  ) ) ))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"R" _"upv"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_"wet"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(0.26)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r>
            <a:rPr lang="en-US" b="1" u="sng">
              <a:effectLst/>
            </a:rPr>
            <a:t>Consumption of eggs</a:t>
          </a:r>
          <a:endParaRPr lang="en-US" sz="1100" b="1" i="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_"soil−f−egg−ing"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_"f−egg−ing"  " " ("pCi" ∕"g" ))/("T" "F" _"egg"  " " ("day" /"kg" )" x " [("Q" _"p−po"  " " ("0.2 kg" /"day" )" x " "f" _"p−po"  " " ("1" )" x " "f" _"s−po"  " " ("1" )" x " ("R" _"upp"  "+" "R" _"es"  ))"+" ("Q" _"s−po"  " " ("0.022 kg" /"day" )"x " "f" _"p−po"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))/(("1−" "e" ^("−λ" "t" _"f"  ) ) ))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pPr eaLnBrk="1" fontAlgn="auto" latinLnBrk="0" hangingPunct="1"/>
          <a:r>
            <a:rPr lang="en-US" b="1" u="sng">
              <a:effectLst/>
            </a:rPr>
            <a:t>Consumption poultry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_"soil−f−po−ing"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_"f−po−ing"  " " ("pCi" ∕"g" ))/("T" "F" _"po"  " " ("day" /"kg" )" x " [("Q" _"p−po"  " " ("0.2 kg" /"day" )" x " "f" _"p−po"  " " ("1" )" x " "f" _"s−po"  " " ("1" )" x " ("R" _"upp"  "+" "R" _"es"  ))"+" ("Q" _"s−po"  " " ("0.022 kg" /"day" )"x " "f" _"p−po"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))/(("1−" "e" ^("−λ" "t" _"f"  ) ) ))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pPr eaLnBrk="1" fontAlgn="auto" latinLnBrk="0" hangingPunct="1"/>
          <a:r>
            <a:rPr lang="en-US" b="1" u="sng">
              <a:effectLst/>
            </a:rPr>
            <a:t>Consumption</a:t>
          </a:r>
          <a:r>
            <a:rPr lang="en-US" b="1" u="sng" baseline="0">
              <a:effectLst/>
            </a:rPr>
            <a:t> of fish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_"soil−f−fish−ing"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_"f-fish-ing"  " " ("pCi" ∕"g" )" x " "K" _"d"  " " ("L" /"kg" ))/" " ├ "BCF " ("L" /"kg" )┤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))/(("1−" "e" ^("−λ" "t" _"f"  ) ) ))</a:t>
          </a:r>
          <a:endParaRPr lang="en-US" baseline="0">
            <a:effectLst/>
          </a:endParaRPr>
        </a:p>
        <a:p>
          <a:pPr eaLnBrk="1" fontAlgn="auto" latinLnBrk="0" hangingPunct="1"/>
          <a:r>
            <a:rPr lang="en-US" b="1" u="sng" baseline="0">
              <a:effectLst/>
            </a:rPr>
            <a:t>Consumption of beef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_"soil−f−beef−ing"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_"f−beef−ing"  " " ("pCi" ∕"g" ))/("T" "F" _"beef"  " " ("day" /"kg" )" x " [("Q" _"p−beef"  " " ("11.77 kg" /"day" )" x " "f" _"p−beef"  " " ("1" )" x " "f" _"s−beef"  " " ("1" )" x " ("R" _"upp"  "+" "R" _"es"  ))"+" ("Q" _"s−beef"  " " ("0.39 kg" /"day" )"x " "f" _"p−beef"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))/(("1−" "e" ^("−λ" "t" _"f"  ) ) ))"R"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 baseline="0">
            <a:effectLst/>
          </a:endParaRPr>
        </a:p>
        <a:p>
          <a:pPr eaLnBrk="1" fontAlgn="auto" latinLnBrk="0" hangingPunct="1"/>
          <a:r>
            <a:rPr lang="en-US" b="1" u="sng" baseline="0">
              <a:effectLst/>
            </a:rPr>
            <a:t>Consumption of milk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_"soil−f−dairy−ing"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_"f−dairy−ing"  " " ("pCi" ∕"g" ))/("T" "F" _"dairy"  " " ("day" /"kg" )"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</a:t>
          </a:r>
          <a:r>
            <a:rPr lang="el-GR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</a:t>
          </a:r>
          <a:r>
            <a:rPr lang="el-GR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ρ</a:t>
          </a:r>
          <a:r>
            <a:rPr lang="el-GR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_"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("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1.03 kg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/"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1 L milk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)^"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-1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Cambria Math"/>
              <a:cs typeface="+mn-cs"/>
            </a:rPr>
            <a:t>"  "</a:t>
          </a:r>
          <a:r>
            <a:rPr lang="en-US" sz="1100" b="0" i="0">
              <a:solidFill>
                <a:schemeClr val="tx1"/>
              </a:solidFill>
              <a:effectLst/>
              <a:latin typeface="Calibri" panose="020F0502020204030204" pitchFamily="34" charset="0"/>
              <a:ea typeface="Cambria Math"/>
              <a:cs typeface="+mn-cs"/>
            </a:rPr>
            <a:t>x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[("Q" _"p−dairy"  " " ("16.9 kg" /"day" )" x " "f" _"p−dairy"  " " ("1" )" x " "f" _"s−dairy"  " " ("1" )" x " ("R" _"upp"  "+" "R" _"es"  ))"+" ("Q" _"s−dairy"  " " ("0.41 kg" /"day" )"x " "f" _"p−dairy"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))/(("1−" "e" ^("−λ" "t" _"f"  ) ) ))"R"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 baseline="0">
            <a:effectLst/>
          </a:endParaRPr>
        </a:p>
        <a:p>
          <a:pPr eaLnBrk="1" fontAlgn="auto" latinLnBrk="0" hangingPunct="1"/>
          <a:r>
            <a:rPr lang="en-US" b="1" u="sng" baseline="0">
              <a:effectLst/>
            </a:rPr>
            <a:t>Consumption of swine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_"soil−f−sw−ing"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_"f−sw−ing"  " " ("pCi" ∕"g" ))/("T" "F" _"sw"  " " ("day" /"kg" )" x " [("Q" _"p−sw"  " " ("4.7 kg" /"day" )" x " "f" _"p−sw"  " " ("1" )" x " "f" _"s−sw"  " " ("1" )" x " ("R" _"upp"  "+" "R" _"es"  ))"+" ("Q" _"s−sw"  " " ("0.37 kg" /"day" )"x " "f" _"p−sw"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))/(("1−" "e" ^("−λ" "t" _"f"  ) ) ))"R"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</xdr:txBody>
    </xdr:sp>
    <xdr:clientData/>
  </xdr:oneCellAnchor>
  <xdr:oneCellAnchor>
    <xdr:from>
      <xdr:col>3</xdr:col>
      <xdr:colOff>214312</xdr:colOff>
      <xdr:row>23</xdr:row>
      <xdr:rowOff>71439</xdr:rowOff>
    </xdr:from>
    <xdr:ext cx="7762875" cy="1000124"/>
    <xdr:sp macro="" textlink="">
      <xdr:nvSpPr>
        <xdr:cNvPr id="3" name="TextBox 2"/>
        <xdr:cNvSpPr txBox="1"/>
      </xdr:nvSpPr>
      <xdr:spPr>
        <a:xfrm>
          <a:off x="1976437" y="4595814"/>
          <a:ext cx="7762875" cy="100012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Particulate Emission Factor</a:t>
          </a:r>
          <a:r>
            <a:rPr lang="en-US" sz="1100" b="1" u="sng" baseline="0"/>
            <a:t> - Wind</a:t>
          </a:r>
        </a:p>
        <a:p>
          <a:r>
            <a:rPr lang="en-US" sz="1100" b="0" i="0">
              <a:latin typeface="Cambria Math"/>
            </a:rPr>
            <a:t>"PE" </a:t>
          </a:r>
          <a:r>
            <a:rPr lang="en-US" sz="1100" b="0" i="0">
              <a:latin typeface="+mn-lt"/>
            </a:rPr>
            <a:t>"F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"w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Cambria Math"/>
            </a:rPr>
            <a:t>" " ((</a:t>
          </a:r>
          <a:r>
            <a:rPr lang="en-US" sz="1100" b="0" i="0">
              <a:latin typeface="+mn-lt"/>
            </a:rPr>
            <a:t>"m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"air</a:t>
          </a:r>
          <a:r>
            <a:rPr lang="en-US" sz="1100" b="0" i="0">
              <a:latin typeface="Cambria Math"/>
            </a:rPr>
            <a:t>" ^</a:t>
          </a:r>
          <a:r>
            <a:rPr lang="en-US" sz="1100" b="0" i="0">
              <a:latin typeface="+mn-lt"/>
            </a:rPr>
            <a:t>"3</a:t>
          </a:r>
          <a:r>
            <a:rPr lang="en-US" sz="1100" b="0" i="0">
              <a:latin typeface="Cambria Math"/>
            </a:rPr>
            <a:t>" )/(</a:t>
          </a:r>
          <a:r>
            <a:rPr lang="en-US" sz="1100" b="0" i="0">
              <a:latin typeface="+mn-lt"/>
            </a:rPr>
            <a:t>"k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"soil</a:t>
          </a:r>
          <a:r>
            <a:rPr lang="en-US" sz="1100" b="0" i="0">
              <a:latin typeface="Cambria Math"/>
            </a:rPr>
            <a:t>"  ))"=" </a:t>
          </a:r>
          <a:r>
            <a:rPr lang="en-US" sz="1100" b="0" i="0">
              <a:latin typeface="+mn-lt"/>
            </a:rPr>
            <a:t> "Q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"C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"wind</a:t>
          </a:r>
          <a:r>
            <a:rPr lang="en-US" sz="1100" b="0" i="0">
              <a:latin typeface="Cambria Math"/>
            </a:rPr>
            <a:t>" 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Cambria Math"/>
            </a:rPr>
            <a:t>" " ((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/(</a:t>
          </a:r>
          <a:r>
            <a:rPr lang="en-US" sz="1100" b="0" i="0">
              <a:latin typeface="+mn-lt"/>
            </a:rPr>
            <a:t>"m</a:t>
          </a:r>
          <a:r>
            <a:rPr lang="en-US" sz="1100" b="0" i="0">
              <a:latin typeface="Cambria Math"/>
            </a:rPr>
            <a:t>" ^</a:t>
          </a:r>
          <a:r>
            <a:rPr lang="en-US" sz="1100" b="0" i="0">
              <a:latin typeface="+mn-lt"/>
            </a:rPr>
            <a:t>"2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 "−s</a:t>
          </a:r>
          <a:r>
            <a:rPr lang="en-US" sz="1100" b="0" i="0">
              <a:latin typeface="Cambria Math"/>
            </a:rPr>
            <a:t>" ))/(</a:t>
          </a:r>
          <a:r>
            <a:rPr lang="en-US" sz="1100" b="0" i="0">
              <a:latin typeface="+mn-lt"/>
            </a:rPr>
            <a:t>"kg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"m</a:t>
          </a:r>
          <a:r>
            <a:rPr lang="en-US" sz="1100" b="0" i="0">
              <a:latin typeface="Cambria Math"/>
            </a:rPr>
            <a:t>" ^</a:t>
          </a:r>
          <a:r>
            <a:rPr lang="en-US" sz="1100" b="0" i="0">
              <a:latin typeface="+mn-lt"/>
            </a:rPr>
            <a:t>"3</a:t>
          </a:r>
          <a:r>
            <a:rPr lang="en-US" sz="1100" b="0" i="0">
              <a:latin typeface="Cambria Math"/>
            </a:rPr>
            <a:t>"  ))" x " </a:t>
          </a:r>
          <a:r>
            <a:rPr lang="en-US" sz="1100" b="0" i="0">
              <a:latin typeface="+mn-lt"/>
            </a:rPr>
            <a:t> "3600 </a:t>
          </a:r>
          <a:r>
            <a:rPr lang="en-US" sz="1100" b="0" i="0">
              <a:latin typeface="Cambria Math"/>
            </a:rPr>
            <a:t>" (</a:t>
          </a:r>
          <a:r>
            <a:rPr lang="en-US" sz="1100" b="0" i="0">
              <a:latin typeface="+mn-lt"/>
            </a:rPr>
            <a:t>"s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"hour</a:t>
          </a:r>
          <a:r>
            <a:rPr lang="en-US" sz="1100" b="0" i="0">
              <a:latin typeface="Cambria Math"/>
            </a:rPr>
            <a:t>" 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"0.036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))^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x F(x)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endParaRPr lang="en-US" sz="1100" b="0">
            <a:latin typeface="+mn-lt"/>
          </a:endParaRPr>
        </a:p>
        <a:p>
          <a:r>
            <a:rPr lang="en-US" sz="1100" b="0" i="0">
              <a:latin typeface="+mn-lt"/>
            </a:rPr>
            <a:t>"Q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"C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"wind</a:t>
          </a:r>
          <a:r>
            <a:rPr lang="en-US" sz="1100" b="0" i="0">
              <a:latin typeface="Cambria Math"/>
            </a:rPr>
            <a:t>" 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Cambria Math"/>
            </a:rPr>
            <a:t>"=A x" </a:t>
          </a:r>
          <a:r>
            <a:rPr lang="en-US" sz="1100" b="0" i="0">
              <a:latin typeface="+mn-lt"/>
            </a:rPr>
            <a:t> "exp</a:t>
          </a:r>
          <a:r>
            <a:rPr lang="en-US" sz="1100" b="0" i="0">
              <a:latin typeface="Cambria Math"/>
            </a:rPr>
            <a:t>" ⁡[(</a:t>
          </a:r>
          <a:r>
            <a:rPr lang="en-US" sz="1100" b="0" i="0">
              <a:latin typeface="+mn-lt"/>
            </a:rPr>
            <a:t>"ln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"A</a:t>
          </a:r>
          <a:r>
            <a:rPr lang="en-US" sz="1100" b="0" i="0">
              <a:latin typeface="Cambria Math"/>
            </a:rPr>
            <a:t>" _</a:t>
          </a:r>
          <a:r>
            <a:rPr lang="en-US" sz="1100" b="0" i="0">
              <a:latin typeface="+mn-lt"/>
            </a:rPr>
            <a:t>"s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 " </a:t>
          </a:r>
          <a:r>
            <a:rPr lang="en-US" sz="1100" b="0" i="0">
              <a:latin typeface="Cambria Math"/>
            </a:rPr>
            <a:t>" (</a:t>
          </a:r>
          <a:r>
            <a:rPr lang="en-US" sz="1100" b="0" i="0">
              <a:latin typeface="+mn-lt"/>
            </a:rPr>
            <a:t>"acre</a:t>
          </a:r>
          <a:r>
            <a:rPr lang="en-US" sz="1100" b="0" i="0">
              <a:latin typeface="Cambria Math"/>
            </a:rPr>
            <a:t>" )</a:t>
          </a:r>
          <a:r>
            <a:rPr lang="en-US" sz="1100" b="0" i="0">
              <a:latin typeface="+mn-lt"/>
            </a:rPr>
            <a:t>"−B</a:t>
          </a:r>
          <a:r>
            <a:rPr lang="en-US" sz="1100" b="0" i="0">
              <a:latin typeface="Cambria Math"/>
            </a:rPr>
            <a:t>" )^</a:t>
          </a:r>
          <a:r>
            <a:rPr lang="en-US" sz="1100" b="0" i="0">
              <a:latin typeface="+mn-lt"/>
            </a:rPr>
            <a:t>"2</a:t>
          </a:r>
          <a:r>
            <a:rPr lang="en-US" sz="1100" b="0" i="0">
              <a:latin typeface="Cambria Math"/>
            </a:rPr>
            <a:t>" /</a:t>
          </a:r>
          <a:r>
            <a:rPr lang="en-US" sz="1100" b="0" i="0">
              <a:latin typeface="+mn-lt"/>
            </a:rPr>
            <a:t>"C</a:t>
          </a:r>
          <a:r>
            <a:rPr lang="en-US" sz="1100" b="0" i="0">
              <a:latin typeface="Cambria Math"/>
            </a:rPr>
            <a:t>" ]</a:t>
          </a:r>
          <a:endParaRPr lang="en-US" sz="1100">
            <a:latin typeface="+mn-lt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142877</xdr:colOff>
      <xdr:row>0</xdr:row>
      <xdr:rowOff>166688</xdr:rowOff>
    </xdr:from>
    <xdr:ext cx="5814577" cy="2985221"/>
    <xdr:sp macro="" textlink="">
      <xdr:nvSpPr>
        <xdr:cNvPr id="2" name="TextBox 1"/>
        <xdr:cNvSpPr txBox="1"/>
      </xdr:nvSpPr>
      <xdr:spPr>
        <a:xfrm>
          <a:off x="6879650" y="166688"/>
          <a:ext cx="5814577" cy="298522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Inhalation (with half-life</a:t>
          </a:r>
          <a:r>
            <a:rPr lang="en-US" sz="1100" b="1" u="sng" baseline="0"/>
            <a:t> decay)</a:t>
          </a:r>
        </a:p>
        <a:p>
          <a:r>
            <a:rPr lang="en-US" sz="1100" b="0" i="0">
              <a:latin typeface="Cambria Math"/>
            </a:rPr>
            <a:t>"PR" </a:t>
          </a:r>
          <a:r>
            <a:rPr lang="en-US" sz="1100" b="0" i="0">
              <a:latin typeface="Calibri" panose="020F0502020204030204" pitchFamily="34" charset="0"/>
            </a:rPr>
            <a:t>"G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f−air−inh−decay</a:t>
          </a:r>
          <a:r>
            <a:rPr lang="en-US" sz="1100" b="0" i="0">
              <a:latin typeface="Cambria Math"/>
            </a:rPr>
            <a:t>"  " " ("</a:t>
          </a:r>
          <a:r>
            <a:rPr lang="en-US" sz="1100" b="0" i="0">
              <a:latin typeface="Calibri" panose="020F0502020204030204" pitchFamily="34" charset="0"/>
            </a:rPr>
            <a:t>pCi</a:t>
          </a:r>
          <a:r>
            <a:rPr lang="en-US" sz="1100" b="0" i="0">
              <a:latin typeface="Cambria Math"/>
            </a:rPr>
            <a:t>" ∕"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 )"=</a:t>
          </a:r>
          <a:r>
            <a:rPr lang="en-US" sz="1100" b="0" i="0">
              <a:latin typeface="Cambria Math"/>
              <a:ea typeface="Cambria Math"/>
            </a:rPr>
            <a:t>" </a:t>
          </a:r>
          <a:r>
            <a:rPr lang="en-US" sz="1100" b="0" i="0">
              <a:latin typeface="Cambria Math"/>
            </a:rPr>
            <a:t> ├ "</a:t>
          </a:r>
          <a:r>
            <a:rPr lang="en-US" sz="1100" b="0" i="0">
              <a:latin typeface="Calibri" panose="020F0502020204030204" pitchFamily="34" charset="0"/>
            </a:rPr>
            <a:t>TR x 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t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λ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yr</a:t>
          </a:r>
          <a:r>
            <a:rPr lang="en-US" sz="1100" b="0" i="0">
              <a:latin typeface="Cambria Math"/>
              <a:ea typeface="Cambria Math"/>
            </a:rPr>
            <a:t>" )┤/(("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1−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e</a:t>
          </a:r>
          <a:r>
            <a:rPr lang="en-US" sz="1100" b="0" i="0">
              <a:latin typeface="Cambria Math"/>
              <a:ea typeface="Cambria Math"/>
            </a:rPr>
            <a:t>" ^("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−λ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t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</a:t>
          </a:r>
          <a:r>
            <a:rPr lang="en-US" sz="1100" b="0" i="0">
              <a:latin typeface="Cambria Math"/>
              <a:ea typeface="Cambria Math"/>
            </a:rPr>
            <a:t>"  )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SFi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risk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pCi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IF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A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f−adj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161,000 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m</a:t>
          </a:r>
          <a:r>
            <a:rPr lang="en-US" sz="1100" b="0" i="0">
              <a:latin typeface="Cambria Math"/>
              <a:ea typeface="Cambria Math"/>
            </a:rPr>
            <a:t>" ^"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3</a:t>
          </a:r>
          <a:r>
            <a:rPr lang="en-US" sz="1100" b="0" i="0">
              <a:latin typeface="Cambria Math"/>
              <a:ea typeface="Cambria Math"/>
            </a:rPr>
            <a:t>"  ) )</a:t>
          </a:r>
          <a:r>
            <a:rPr lang="en-US" sz="1100" b="0" i="0">
              <a:latin typeface="Cambria Math"/>
            </a:rPr>
            <a:t>"IF" </a:t>
          </a:r>
          <a:r>
            <a:rPr lang="en-US" sz="1100" b="0" i="0">
              <a:latin typeface="Calibri" panose="020F0502020204030204" pitchFamily="34" charset="0"/>
            </a:rPr>
            <a:t>"A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f−adj</a:t>
          </a:r>
          <a:r>
            <a:rPr lang="en-US" sz="1100" b="0" i="0">
              <a:latin typeface="Cambria Math"/>
            </a:rPr>
            <a:t>"  " " ("</a:t>
          </a:r>
          <a:r>
            <a:rPr lang="en-US" sz="1100" b="0" i="0">
              <a:latin typeface="Calibri" panose="020F0502020204030204" pitchFamily="34" charset="0"/>
            </a:rPr>
            <a:t>161,000 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 )"=" ("</a:t>
          </a:r>
          <a:r>
            <a:rPr lang="en-US" sz="1100" b="0" i="0">
              <a:latin typeface="Calibri" panose="020F0502020204030204" pitchFamily="34" charset="0"/>
            </a:rPr>
            <a:t>E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F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f−c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350 day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E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D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f−c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6 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E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T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f−c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24 hr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day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1 day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24 hrs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IR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A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f−c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(("</a:t>
          </a:r>
          <a:r>
            <a:rPr lang="en-US" sz="1100" b="0" i="0">
              <a:latin typeface="Calibri" panose="020F0502020204030204" pitchFamily="34" charset="0"/>
            </a:rPr>
            <a:t>10 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)/"</a:t>
          </a:r>
          <a:r>
            <a:rPr lang="en-US" sz="1100" b="0" i="0">
              <a:latin typeface="Calibri" panose="020F0502020204030204" pitchFamily="34" charset="0"/>
            </a:rPr>
            <a:t>day</a:t>
          </a:r>
          <a:r>
            <a:rPr lang="en-US" sz="1100" b="0" i="0">
              <a:latin typeface="Cambria Math"/>
            </a:rPr>
            <a:t>" ))"+" (〖"</a:t>
          </a:r>
          <a:r>
            <a:rPr lang="en-US" sz="1100" b="0" i="0">
              <a:latin typeface="Calibri" panose="020F0502020204030204" pitchFamily="34" charset="0"/>
            </a:rPr>
            <a:t>EF</a:t>
          </a:r>
          <a:r>
            <a:rPr lang="en-US" sz="1100" b="0" i="0">
              <a:latin typeface="Cambria Math"/>
            </a:rPr>
            <a:t>" 〗_"</a:t>
          </a:r>
          <a:r>
            <a:rPr lang="en-US" sz="1100" b="0" i="0">
              <a:latin typeface="Calibri" panose="020F0502020204030204" pitchFamily="34" charset="0"/>
            </a:rPr>
            <a:t>f−a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350 day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〖"</a:t>
          </a:r>
          <a:r>
            <a:rPr lang="en-US" sz="1100" b="0" i="0">
              <a:latin typeface="Calibri" panose="020F0502020204030204" pitchFamily="34" charset="0"/>
            </a:rPr>
            <a:t>ED</a:t>
          </a:r>
          <a:r>
            <a:rPr lang="en-US" sz="1100" b="0" i="0">
              <a:latin typeface="Cambria Math"/>
            </a:rPr>
            <a:t>" 〗_"</a:t>
          </a:r>
          <a:r>
            <a:rPr lang="en-US" sz="1100" b="0" i="0">
              <a:latin typeface="Calibri" panose="020F0502020204030204" pitchFamily="34" charset="0"/>
            </a:rPr>
            <a:t>f−a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34 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〖"</a:t>
          </a:r>
          <a:r>
            <a:rPr lang="en-US" sz="1100" b="0" i="0">
              <a:latin typeface="Calibri" panose="020F0502020204030204" pitchFamily="34" charset="0"/>
            </a:rPr>
            <a:t>ET</a:t>
          </a:r>
          <a:r>
            <a:rPr lang="en-US" sz="1100" b="0" i="0">
              <a:latin typeface="Cambria Math"/>
            </a:rPr>
            <a:t>" 〗_"</a:t>
          </a:r>
          <a:r>
            <a:rPr lang="en-US" sz="1100" b="0" i="0">
              <a:latin typeface="Calibri" panose="020F0502020204030204" pitchFamily="34" charset="0"/>
            </a:rPr>
            <a:t>f−a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24 hr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day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1 day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24 hrs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〖"</a:t>
          </a:r>
          <a:r>
            <a:rPr lang="en-US" sz="1100" b="0" i="0">
              <a:latin typeface="Calibri" panose="020F0502020204030204" pitchFamily="34" charset="0"/>
            </a:rPr>
            <a:t>IRA</a:t>
          </a:r>
          <a:r>
            <a:rPr lang="en-US" sz="1100" b="0" i="0">
              <a:latin typeface="Cambria Math"/>
            </a:rPr>
            <a:t>" 〗_"</a:t>
          </a:r>
          <a:r>
            <a:rPr lang="en-US" sz="1100" b="0" i="0">
              <a:latin typeface="Calibri" panose="020F0502020204030204" pitchFamily="34" charset="0"/>
            </a:rPr>
            <a:t>f−a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(("</a:t>
          </a:r>
          <a:r>
            <a:rPr lang="en-US" sz="1100" b="0" i="0">
              <a:latin typeface="Calibri" panose="020F0502020204030204" pitchFamily="34" charset="0"/>
            </a:rPr>
            <a:t>20 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)/"</a:t>
          </a:r>
          <a:r>
            <a:rPr lang="en-US" sz="1100" b="0" i="0">
              <a:latin typeface="Calibri" panose="020F0502020204030204" pitchFamily="34" charset="0"/>
            </a:rPr>
            <a:t>day</a:t>
          </a:r>
          <a:r>
            <a:rPr lang="en-US" sz="1100" b="0" i="0">
              <a:latin typeface="Cambria Math"/>
            </a:rPr>
            <a:t>" ))</a:t>
          </a:r>
          <a:endParaRPr lang="en-US" sz="1100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exposure to ionizing radiation (with half-life decay)</a:t>
          </a:r>
          <a:endParaRPr lang="en-US" sz="1100" b="0" u="non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"f−air−sub−decay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)"=" 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"TR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λ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)┤/((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"−λ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"sub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"365 days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"40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GS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"1.0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</a:t>
          </a:r>
          <a:endParaRPr lang="en-US" sz="1100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(with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"f−air−tot−decay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"f−air−inh−decay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"+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"f−air−sub−decay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endParaRPr lang="en-US" sz="1100">
            <a:latin typeface="Calibri" panose="020F0502020204030204" pitchFamily="34" charset="0"/>
          </a:endParaRPr>
        </a:p>
      </xdr:txBody>
    </xdr:sp>
    <xdr:clientData/>
  </xdr:oneCellAnchor>
  <xdr:oneCellAnchor>
    <xdr:from>
      <xdr:col>9</xdr:col>
      <xdr:colOff>155864</xdr:colOff>
      <xdr:row>24</xdr:row>
      <xdr:rowOff>155864</xdr:rowOff>
    </xdr:from>
    <xdr:ext cx="6095999" cy="2926772"/>
    <xdr:sp macro="" textlink="">
      <xdr:nvSpPr>
        <xdr:cNvPr id="3" name="TextBox 2"/>
        <xdr:cNvSpPr txBox="1"/>
      </xdr:nvSpPr>
      <xdr:spPr>
        <a:xfrm>
          <a:off x="6234546" y="4901046"/>
          <a:ext cx="6095999" cy="292677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Inhalation (without half-life</a:t>
          </a:r>
          <a:r>
            <a:rPr lang="en-US" sz="1100" b="1" u="sng" baseline="0"/>
            <a:t> decay)</a:t>
          </a:r>
        </a:p>
        <a:p>
          <a:r>
            <a:rPr lang="en-US" sz="1100" b="0" i="0">
              <a:latin typeface="Cambria Math"/>
            </a:rPr>
            <a:t>"PR" </a:t>
          </a:r>
          <a:r>
            <a:rPr lang="en-US" sz="1100" b="0" i="0">
              <a:latin typeface="Calibri" panose="020F0502020204030204" pitchFamily="34" charset="0"/>
            </a:rPr>
            <a:t>"G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f−air−inh−nodecay</a:t>
          </a:r>
          <a:r>
            <a:rPr lang="en-US" sz="1100" b="0" i="0">
              <a:latin typeface="Cambria Math"/>
            </a:rPr>
            <a:t>"  " " ("</a:t>
          </a:r>
          <a:r>
            <a:rPr lang="en-US" sz="1100" b="0" i="0">
              <a:latin typeface="Calibri" panose="020F0502020204030204" pitchFamily="34" charset="0"/>
            </a:rPr>
            <a:t>pCi</a:t>
          </a:r>
          <a:r>
            <a:rPr lang="en-US" sz="1100" b="0" i="0">
              <a:latin typeface="Cambria Math"/>
            </a:rPr>
            <a:t>" ∕"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 )"=</a:t>
          </a:r>
          <a:r>
            <a:rPr lang="en-US" sz="1100" b="0" i="0">
              <a:latin typeface="Cambria Math"/>
              <a:ea typeface="Cambria Math"/>
            </a:rPr>
            <a:t>" </a:t>
          </a:r>
          <a:r>
            <a:rPr lang="en-US" sz="1100" b="0" i="0">
              <a:latin typeface="Cambria Math"/>
            </a:rPr>
            <a:t> ├ "</a:t>
          </a:r>
          <a:r>
            <a:rPr lang="en-US" sz="1100" b="0" i="0">
              <a:latin typeface="Calibri" panose="020F0502020204030204" pitchFamily="34" charset="0"/>
            </a:rPr>
            <a:t>TR</a:t>
          </a:r>
          <a:r>
            <a:rPr lang="en-US" sz="1100" b="0" i="0">
              <a:latin typeface="Cambria Math"/>
            </a:rPr>
            <a:t>" ┤</a:t>
          </a:r>
          <a:r>
            <a:rPr lang="en-US" sz="1100" b="0" i="0">
              <a:latin typeface="Cambria Math"/>
              <a:ea typeface="Cambria Math"/>
            </a:rPr>
            <a:t>/("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SFi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risk</a:t>
          </a:r>
          <a:r>
            <a:rPr lang="en-US" sz="1100" b="0" i="0">
              <a:latin typeface="Cambria Math"/>
              <a:ea typeface="Cambria Math"/>
            </a:rPr>
            <a:t>" /"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pCi</a:t>
          </a:r>
          <a:r>
            <a:rPr lang="en-US" sz="1100" b="0" i="0">
              <a:latin typeface="Cambria Math"/>
              <a:ea typeface="Cambria Math"/>
            </a:rPr>
            <a:t>" )"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x IF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A</a:t>
          </a:r>
          <a:r>
            <a:rPr lang="en-US" sz="1100" b="0" i="0">
              <a:latin typeface="Cambria Math"/>
              <a:ea typeface="Cambria Math"/>
            </a:rPr>
            <a:t>" _"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f−adj</a:t>
          </a:r>
          <a:r>
            <a:rPr lang="en-US" sz="1100" b="0" i="0">
              <a:latin typeface="Cambria Math"/>
              <a:ea typeface="Cambria Math"/>
            </a:rPr>
            <a:t>" 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 </a:t>
          </a:r>
          <a:r>
            <a:rPr lang="en-US" sz="1100" b="0" i="0">
              <a:latin typeface="Cambria Math"/>
              <a:ea typeface="Cambria Math"/>
            </a:rPr>
            <a:t>" ("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259,000 </a:t>
          </a:r>
          <a:r>
            <a:rPr lang="en-US" sz="1100" b="0" i="0">
              <a:latin typeface="Cambria Math"/>
              <a:ea typeface="Cambria Math"/>
            </a:rPr>
            <a:t>" 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m</a:t>
          </a:r>
          <a:r>
            <a:rPr lang="en-US" sz="1100" b="0" i="0">
              <a:latin typeface="Cambria Math"/>
              <a:ea typeface="Cambria Math"/>
            </a:rPr>
            <a:t>" ^"</a:t>
          </a:r>
          <a:r>
            <a:rPr lang="en-US" sz="1100" b="0" i="0">
              <a:latin typeface="Calibri" panose="020F0502020204030204" pitchFamily="34" charset="0"/>
              <a:ea typeface="Cambria Math"/>
            </a:rPr>
            <a:t>3</a:t>
          </a:r>
          <a:r>
            <a:rPr lang="en-US" sz="1100" b="0" i="0">
              <a:latin typeface="Cambria Math"/>
              <a:ea typeface="Cambria Math"/>
            </a:rPr>
            <a:t>"  ) )</a:t>
          </a:r>
          <a:r>
            <a:rPr lang="en-US" sz="1100" b="0" i="0">
              <a:latin typeface="Cambria Math"/>
            </a:rPr>
            <a:t>"IF" </a:t>
          </a:r>
          <a:r>
            <a:rPr lang="en-US" sz="1100" b="0" i="0">
              <a:latin typeface="Calibri" panose="020F0502020204030204" pitchFamily="34" charset="0"/>
            </a:rPr>
            <a:t>"A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f−adj</a:t>
          </a:r>
          <a:r>
            <a:rPr lang="en-US" sz="1100" b="0" i="0">
              <a:latin typeface="Cambria Math"/>
            </a:rPr>
            <a:t>"  " " ("</a:t>
          </a:r>
          <a:r>
            <a:rPr lang="en-US" sz="1100" b="0" i="0">
              <a:latin typeface="Calibri" panose="020F0502020204030204" pitchFamily="34" charset="0"/>
            </a:rPr>
            <a:t>259,000 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 )"=" ("</a:t>
          </a:r>
          <a:r>
            <a:rPr lang="en-US" sz="1100" b="0" i="0">
              <a:latin typeface="Calibri" panose="020F0502020204030204" pitchFamily="34" charset="0"/>
            </a:rPr>
            <a:t>E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F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f−c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350 day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E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D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f−c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6 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E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T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f−c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24 hr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day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1 day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24 hrs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IR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A</a:t>
          </a:r>
          <a:r>
            <a:rPr lang="en-US" sz="1100" b="0" i="0">
              <a:latin typeface="Cambria Math"/>
            </a:rPr>
            <a:t>" _"</a:t>
          </a:r>
          <a:r>
            <a:rPr lang="en-US" sz="1100" b="0" i="0">
              <a:latin typeface="Calibri" panose="020F0502020204030204" pitchFamily="34" charset="0"/>
            </a:rPr>
            <a:t>f−c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(("</a:t>
          </a:r>
          <a:r>
            <a:rPr lang="en-US" sz="1100" b="0" i="0">
              <a:latin typeface="Calibri" panose="020F0502020204030204" pitchFamily="34" charset="0"/>
            </a:rPr>
            <a:t>10 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)/"</a:t>
          </a:r>
          <a:r>
            <a:rPr lang="en-US" sz="1100" b="0" i="0">
              <a:latin typeface="Calibri" panose="020F0502020204030204" pitchFamily="34" charset="0"/>
            </a:rPr>
            <a:t>day</a:t>
          </a:r>
          <a:r>
            <a:rPr lang="en-US" sz="1100" b="0" i="0">
              <a:latin typeface="Cambria Math"/>
            </a:rPr>
            <a:t>" ))"+" (〖"</a:t>
          </a:r>
          <a:r>
            <a:rPr lang="en-US" sz="1100" b="0" i="0">
              <a:latin typeface="Calibri" panose="020F0502020204030204" pitchFamily="34" charset="0"/>
            </a:rPr>
            <a:t>EF</a:t>
          </a:r>
          <a:r>
            <a:rPr lang="en-US" sz="1100" b="0" i="0">
              <a:latin typeface="Cambria Math"/>
            </a:rPr>
            <a:t>" 〗_"</a:t>
          </a:r>
          <a:r>
            <a:rPr lang="en-US" sz="1100" b="0" i="0">
              <a:latin typeface="Calibri" panose="020F0502020204030204" pitchFamily="34" charset="0"/>
            </a:rPr>
            <a:t>f−a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350 day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〖"</a:t>
          </a:r>
          <a:r>
            <a:rPr lang="en-US" sz="1100" b="0" i="0">
              <a:latin typeface="Calibri" panose="020F0502020204030204" pitchFamily="34" charset="0"/>
            </a:rPr>
            <a:t>ED</a:t>
          </a:r>
          <a:r>
            <a:rPr lang="en-US" sz="1100" b="0" i="0">
              <a:latin typeface="Cambria Math"/>
            </a:rPr>
            <a:t>" 〗_"</a:t>
          </a:r>
          <a:r>
            <a:rPr lang="en-US" sz="1100" b="0" i="0">
              <a:latin typeface="Calibri" panose="020F0502020204030204" pitchFamily="34" charset="0"/>
            </a:rPr>
            <a:t>f−a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34 yr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〖"</a:t>
          </a:r>
          <a:r>
            <a:rPr lang="en-US" sz="1100" b="0" i="0">
              <a:latin typeface="Calibri" panose="020F0502020204030204" pitchFamily="34" charset="0"/>
            </a:rPr>
            <a:t>ET</a:t>
          </a:r>
          <a:r>
            <a:rPr lang="en-US" sz="1100" b="0" i="0">
              <a:latin typeface="Cambria Math"/>
            </a:rPr>
            <a:t>" 〗_"</a:t>
          </a:r>
          <a:r>
            <a:rPr lang="en-US" sz="1100" b="0" i="0">
              <a:latin typeface="Calibri" panose="020F0502020204030204" pitchFamily="34" charset="0"/>
            </a:rPr>
            <a:t>f−a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24 hr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day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("</a:t>
          </a:r>
          <a:r>
            <a:rPr lang="en-US" sz="1100" b="0" i="0">
              <a:latin typeface="Calibri" panose="020F0502020204030204" pitchFamily="34" charset="0"/>
            </a:rPr>
            <a:t>1 day</a:t>
          </a:r>
          <a:r>
            <a:rPr lang="en-US" sz="1100" b="0" i="0">
              <a:latin typeface="Cambria Math"/>
            </a:rPr>
            <a:t>" /"</a:t>
          </a:r>
          <a:r>
            <a:rPr lang="en-US" sz="1100" b="0" i="0">
              <a:latin typeface="Calibri" panose="020F0502020204030204" pitchFamily="34" charset="0"/>
            </a:rPr>
            <a:t>24 hrs</a:t>
          </a:r>
          <a:r>
            <a:rPr lang="en-US" sz="1100" b="0" i="0">
              <a:latin typeface="Cambria Math"/>
            </a:rPr>
            <a:t>" )"</a:t>
          </a:r>
          <a:r>
            <a:rPr lang="en-US" sz="1100" b="0" i="0">
              <a:latin typeface="Calibri" panose="020F0502020204030204" pitchFamily="34" charset="0"/>
            </a:rPr>
            <a:t> x </a:t>
          </a:r>
          <a:r>
            <a:rPr lang="en-US" sz="1100" b="0" i="0">
              <a:latin typeface="Cambria Math"/>
            </a:rPr>
            <a:t>" 〖"</a:t>
          </a:r>
          <a:r>
            <a:rPr lang="en-US" sz="1100" b="0" i="0">
              <a:latin typeface="Calibri" panose="020F0502020204030204" pitchFamily="34" charset="0"/>
            </a:rPr>
            <a:t>IRA</a:t>
          </a:r>
          <a:r>
            <a:rPr lang="en-US" sz="1100" b="0" i="0">
              <a:latin typeface="Cambria Math"/>
            </a:rPr>
            <a:t>" 〗_"</a:t>
          </a:r>
          <a:r>
            <a:rPr lang="en-US" sz="1100" b="0" i="0">
              <a:latin typeface="Calibri" panose="020F0502020204030204" pitchFamily="34" charset="0"/>
            </a:rPr>
            <a:t>f−a</a:t>
          </a:r>
          <a:r>
            <a:rPr lang="en-US" sz="1100" b="0" i="0">
              <a:latin typeface="Cambria Math"/>
            </a:rPr>
            <a:t>"  "</a:t>
          </a:r>
          <a:r>
            <a:rPr lang="en-US" sz="1100" b="0" i="0">
              <a:latin typeface="Calibri" panose="020F0502020204030204" pitchFamily="34" charset="0"/>
            </a:rPr>
            <a:t> </a:t>
          </a:r>
          <a:r>
            <a:rPr lang="en-US" sz="1100" b="0" i="0">
              <a:latin typeface="Cambria Math"/>
            </a:rPr>
            <a:t>" (("</a:t>
          </a:r>
          <a:r>
            <a:rPr lang="en-US" sz="1100" b="0" i="0">
              <a:latin typeface="Calibri" panose="020F0502020204030204" pitchFamily="34" charset="0"/>
            </a:rPr>
            <a:t>20 </a:t>
          </a:r>
          <a:r>
            <a:rPr lang="en-US" sz="1100" b="0" i="0">
              <a:latin typeface="Cambria Math"/>
            </a:rPr>
            <a:t>" "</a:t>
          </a:r>
          <a:r>
            <a:rPr lang="en-US" sz="1100" b="0" i="0">
              <a:latin typeface="Calibri" panose="020F0502020204030204" pitchFamily="34" charset="0"/>
            </a:rPr>
            <a:t>m</a:t>
          </a:r>
          <a:r>
            <a:rPr lang="en-US" sz="1100" b="0" i="0">
              <a:latin typeface="Cambria Math"/>
            </a:rPr>
            <a:t>" ^"</a:t>
          </a:r>
          <a:r>
            <a:rPr lang="en-US" sz="1100" b="0" i="0">
              <a:latin typeface="Calibri" panose="020F0502020204030204" pitchFamily="34" charset="0"/>
            </a:rPr>
            <a:t>3</a:t>
          </a:r>
          <a:r>
            <a:rPr lang="en-US" sz="1100" b="0" i="0">
              <a:latin typeface="Cambria Math"/>
            </a:rPr>
            <a:t>" )/"</a:t>
          </a:r>
          <a:r>
            <a:rPr lang="en-US" sz="1100" b="0" i="0">
              <a:latin typeface="Calibri" panose="020F0502020204030204" pitchFamily="34" charset="0"/>
            </a:rPr>
            <a:t>day</a:t>
          </a:r>
          <a:r>
            <a:rPr lang="en-US" sz="1100" b="0" i="0">
              <a:latin typeface="Cambria Math"/>
            </a:rPr>
            <a:t>" ))</a:t>
          </a:r>
          <a:endParaRPr lang="en-US" sz="1100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exposure to ionizing radiation (without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"f−air−sub−nodecay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)"=" 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"sub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"350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"365 days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"40 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GS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"1.0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)</a:t>
          </a:r>
          <a:endParaRPr lang="en-US" sz="1100">
            <a:latin typeface="Calibri" panose="020F0502020204030204" pitchFamily="34" charset="0"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(without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"f−air−tot−nodecay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)"="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"f−air−inh−nodecay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"+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"f−air−sub−nodecay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endParaRPr lang="en-US" sz="1100">
            <a:latin typeface="Calibri" panose="020F050202020403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125185</xdr:colOff>
      <xdr:row>38</xdr:row>
      <xdr:rowOff>74159</xdr:rowOff>
    </xdr:from>
    <xdr:ext cx="18907497" cy="6280377"/>
    <xdr:sp macro="" textlink="">
      <xdr:nvSpPr>
        <xdr:cNvPr id="2" name="TextBox 1"/>
        <xdr:cNvSpPr txBox="1"/>
      </xdr:nvSpPr>
      <xdr:spPr>
        <a:xfrm>
          <a:off x="1372094" y="7572932"/>
          <a:ext cx="18907497" cy="628037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Consumption of fruits and vegetables</a:t>
          </a:r>
        </a:p>
        <a:p>
          <a:r>
            <a:rPr lang="en-US" sz="1100" b="0" i="0">
              <a:latin typeface="Cambria Math"/>
            </a:rPr>
            <a:t>"PR</a:t>
          </a:r>
          <a:r>
            <a:rPr lang="en-US" sz="1100" b="0" i="0">
              <a:latin typeface="+mn-lt"/>
            </a:rPr>
            <a:t>" "G" _"sw-f-prod-rad-ing"  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</a:rPr>
            <a:t>"</a:t>
          </a:r>
          <a:endParaRPr lang="en-US" sz="1100" b="0">
            <a:latin typeface="+mn-lt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"INTERCEPT=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_"f−prod−rad−ing"  " " ("pCi" ∕"g" ))/" " ├ " " ("R" _"upv"  "+" "R" _"es"  )┤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))/(("1−" "e" ^("−λ" "t" _"f"  ) ) ))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"SLOPE=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"-" ("Ir" "r" _"rup"  ("L" /"kg" )"+Ir" "r" _"res"  ("L" /"kg" )"+Ir" "r" _"dep"  ("L" /"kg" ))/" " ├ " " ("R" _"upv"  "+" "R" _"es"  )┤ </a:t>
          </a:r>
          <a:endParaRPr lang="en-US" sz="1100">
            <a:latin typeface="+mn-lt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_"rup"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("L" /"kg"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("Ir x F x B" "v" _"wet"  " x " ["1−" "e" ^("−" "λ" _"B"  " x " "t" _"b"  ) ])/("P x " "λ" _"B" 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</a:t>
          </a:r>
          <a:r>
            <a:rPr lang="en-US" sz="110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  ;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Ir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_"res"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("L" /"kg"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"Ir x F x MLF x " ["1−" "e" ^("−" "λ" _"B"  " x " "t" _"b"  ) ]/("P x " "λ" _"B" 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</a:t>
          </a:r>
          <a:r>
            <a:rPr lang="en-US" sz="110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  ;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Ir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_"res"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("L" /"kg"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("Ir x F x " "I" _"f"  " x T x " ["1−" "e" ^("−" "λ" _"E"  " x " "t" _"v"  ) ])/("Y" _"v"  " x " "λ" _"E" 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</a:t>
          </a:r>
          <a:r>
            <a:rPr lang="en-US" sz="110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  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>
              <a:effectLst/>
              <a:latin typeface="+mn-lt"/>
            </a:rPr>
            <a:t>;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〖" R" 〗_"upv"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_"wet"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(0.26)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 sz="1100"/>
        </a:p>
        <a:p>
          <a:endParaRPr lang="en-US" sz="1100"/>
        </a:p>
        <a:p>
          <a:r>
            <a:rPr lang="en-US" sz="1100" b="1" u="sng"/>
            <a:t>Consumption of eggs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_"sw-f-egg-rad-ing"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"INTERCEPT=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_"f-egg-rad−ing"  " " ("pCi" ∕"g" ))/("T" "F" _"egg"  " " ("day" /"kg" )" x " [("Q" _"p-po"  " " ("0.2 kg" /"day" )" x " "f" _"p-po"  " " ("1" )" x " "f" _"s-po"  " " ("1" )" x " ("R" _"upp"  "+" "R" _"es"  ))"+" ("Q" _"s-po"  " " ("0.022 kg" /"day" )"x " "f" _"p-po"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))/(("1-" "e" ^("-λ" "t" _"f"  ) ) ))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"SLOPE=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("-" "Q" _"w-po"  ("0.4 L" /"day" ))/("Q" _"p-po"  " " ("0.2 kg" /"day" )" x " "f" _"p-po"  " " ("1" )" x " "f" _"s-po"  " " ("1" )" x " ("R" _"upp"  "+" "R" _"es"  ))"+ " ("Q" _"s-po"  " " ("0.022 kg" /"day" )"x " "f" _"p-po"  " " ("1" ))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r>
            <a:rPr lang="en-US" sz="1100" b="1" u="sng"/>
            <a:t>Consumption</a:t>
          </a:r>
          <a:r>
            <a:rPr lang="en-US" sz="1100" b="1" u="sng" baseline="0"/>
            <a:t> of poultry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_"sw-f-po-rad-ing"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  <a:p>
          <a:pPr algn="l"/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"INTERCEPT=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_"f-po-rad-ing"  " " ("pCi" ∕"g" ))/("T" "F" _"po"  " " ("day" /"kg" )" x " [("Q" _"p-po"  " " ("0.2 kg" /"day" )" x " "f" _"p-po"  " " ("1" )" x " "f" _"s-po"  " " ("1" )" x " ("R" _"upp"  "+" "R" _"es"  ))"+" ("Q" _"s-po"  " " ("0.022 kg" /"day" )"x " "f" _"p-po"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))/(("1-" "e" ^("-λ" "t" _"f"  ) )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"SLOPE=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("-" "Q" _"w-po"  ("0.4 L" /"day" ))/("Q" _"p-po"  " " ("0.2 kg" /"day" )" x " "f" _"p-po"  " " ("1" )" x " "f" _"s-po"  " " ("1" )" x " ("R" _"upp"  "+" "R" _"es"  ))"+ " ("Q" _"s-po"  " " ("0.022 kg" /"day" )"x " "f" _"p-po"  " " ("1" ))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  <a:p>
          <a:endParaRPr lang="en-US" sz="1100" baseline="0"/>
        </a:p>
        <a:p>
          <a:r>
            <a:rPr lang="en-US" sz="1100" b="1" u="sng" baseline="0"/>
            <a:t>Consumption of fish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_"sw-f-fish-rad-ing"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"INTERCEPT=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_"f-fish-rad-ing"  " " ("pCi" ∕"g" )" x " "K" _"d"  " " ("L" /"kg" ))/" " ├ "BCF " ("L" /"kg" )┤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))/(("1-" "e" ^("-λ" "t" _"f"  ) )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"SLOPE=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("-" "K" _"d"  " " ("L" /"kg" ))/" " ├ "1000" ┤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  <a:p>
          <a:endParaRPr lang="en-US" sz="1100" baseline="0"/>
        </a:p>
        <a:p>
          <a:r>
            <a:rPr lang="en-US" sz="1100" b="1" u="sng"/>
            <a:t>Consumption of beef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_"sw-f-beef-rad-ing"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"INTERCEPT=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_"f-beef-rad-ing"  " " ("pCi" ∕"g" ))/("T" "F" _"beef"  " " ("day" /"kg" )" x " [("Q" _"p-beef"  " " ("11.77 kg" /"day" )" x " "f" _"p-beef"  " " ("1" )" x " "f" _"s-beef"  " " ("1" )" x " ("R" _"upp"  "+" "R" _"es"  ))"+" ("Q" _"s-beef"  " " ("0.39 kg" /"day" )"x " "f" _"p-beef"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))/(("1-" "e" ^("-λ" "t" _"f"  ) )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"SLOPE=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("-" "Q" _"w-beef"  ("53 L" /"day" ))/("Q" _"p-beef"  " " ("11.77 kg" /"day" )" x " "f" _"p-beef"  " " ("1" )" x " "f" _"s-beef"  " " ("1" )" x " ("R" _"upp"  "+" "R" _"es"  ))"+ " ("Q" _"s-beef"  " " ("0.39 kg" /"day" )"x " "f" _"p-beef"  " " ("1" ))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  <a:p>
          <a:endParaRPr lang="en-US" sz="1100"/>
        </a:p>
        <a:p>
          <a:r>
            <a:rPr lang="en-US" sz="1100" b="1" u="sng"/>
            <a:t>Consumption</a:t>
          </a:r>
          <a:r>
            <a:rPr lang="en-US" sz="1100" b="1" u="sng" baseline="0"/>
            <a:t> of milk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_"sw-f-dairy-rad-ing"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"INTERCEPT=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_"f-dairy-rad-ing"  " " ("pCi" ∕"g" ))/("T" "F" _"dairy"  " " ("day" /"kg" )" x "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"ρ"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_"m"  " " ("1.03 kg" /"1 L milk" )^"-1"  "x " [("Q" _"p-dairy"  " " ("16.9 kg" /"day" )" x " "f" _"p-dairy"  " " ("1" )" x " "f" _"s-dairy"  " " ("1" )" x " ("R" _"upp"  "+" "R" _"es"  ))"+" ("Q" _"s-dairy"  " " ("0.41 kg" /"day" )"x " "f" _"p-dairy"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))/(("1-" "e" ^("-λ" "t" _"f"  ) )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"SLOPE=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("-" "Q" _"w-dairy"  ("92 L" /"day" ))/("Q" _"p-dairy"  " " ("16.9 kg" /"day" )" x " "f" _"p-dairy"  " " ("1" )" x " "f" _"s-dairy"  " " ("1" )" x " ("R" _"upp"  "+" "R" _"es"  ))"+ " ("Q" _"s-dairy"  " " ("0.41 kg" /"day" )"x " "f" _"p-dairy"  " " ("1" ))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  <a:p>
          <a:endParaRPr lang="en-US" sz="1100" baseline="0"/>
        </a:p>
        <a:p>
          <a:r>
            <a:rPr lang="en-US" sz="1100" b="1" u="sng" baseline="0"/>
            <a:t>Consumption of swine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_"sw-f-sw-rad-ing"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"INTERCEPT=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("PR" "G" _"f-sw-rad-ing"  " " ("pCi" ∕"g" ))/("T" "F" _"sw"  " " ("day" /"kg" )" x " [("Q" _"p-sw"  " " ("4.7 kg" /"day" )" x " "f" _"p-sw"  " " ("1" )" x " "f" _"s-sw"  " " ("1" )" x " ("R" _"upp"  "+" "R" _"es"  ))"+" ("Q" _"s-sw"  " " ("0.37 kg" /"day" )"x " "f" _"p-sw"  " " ("1" ))] )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(("t" _"f"  " " ("yr" )" x </a:t>
          </a:r>
          <a:r>
            <a:rPr lang="el-G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λ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("1" /"yr" ))/(("1-" "e" ^("-λ" "t" _"f"  ) )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"SLOPE=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("-" "Q" _"w-sw"  ("11.4 L" /"day" ))/("Q" _"p-sw"  " " ("4.7 kg" /"day" )" x " "f" _"p-sw"  " " ("1" )" x " "f" _"s-sw"  " " ("1" )" x " ("R" _"upp"  "+" "R" _"es"  ))"+ " ("Q" _"s-sw"  " " ("0.37 kg" /"day" )"x " "f" _"p-sw"  " " ("1" ))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""R" _"upp"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"=B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"v" _"dry"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           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"R" _"es"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"=MLF (0.25)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8"/>
  <sheetViews>
    <sheetView tabSelected="1" zoomScaleNormal="100" workbookViewId="0">
      <selection activeCell="F43" sqref="F43"/>
    </sheetView>
  </sheetViews>
  <sheetFormatPr defaultRowHeight="15" x14ac:dyDescent="0.25"/>
  <sheetData>
    <row r="1" spans="1:17" x14ac:dyDescent="0.25">
      <c r="A1" s="2" t="s">
        <v>7</v>
      </c>
      <c r="B1" s="2" t="s">
        <v>8</v>
      </c>
      <c r="C1" s="223"/>
      <c r="D1" s="1"/>
      <c r="E1" s="43" t="s">
        <v>205</v>
      </c>
      <c r="F1" s="43" t="s">
        <v>0</v>
      </c>
      <c r="G1" s="44" t="s">
        <v>1</v>
      </c>
      <c r="H1" s="43" t="s">
        <v>6</v>
      </c>
    </row>
    <row r="2" spans="1:17" ht="15" customHeight="1" x14ac:dyDescent="0.25">
      <c r="A2" s="2" t="s">
        <v>9</v>
      </c>
      <c r="B2" s="8">
        <v>9.9999999999999995E-7</v>
      </c>
      <c r="D2" s="4" t="s">
        <v>2</v>
      </c>
      <c r="E2" s="4" t="s">
        <v>185</v>
      </c>
      <c r="F2" s="5">
        <v>432</v>
      </c>
      <c r="G2" s="5">
        <f>0.693/F2</f>
        <v>1.6041666666666665E-3</v>
      </c>
      <c r="H2" s="5">
        <f>'Isotope Specific Factors'!D11</f>
        <v>1.34E-10</v>
      </c>
    </row>
    <row r="3" spans="1:17" x14ac:dyDescent="0.25">
      <c r="A3" s="9" t="s">
        <v>10</v>
      </c>
      <c r="B3" s="4">
        <f>(($B$5)*($B$6)*(B7))+(($B$8)*($B$9)*(B10))</f>
        <v>2262400</v>
      </c>
      <c r="D3" s="4" t="s">
        <v>3</v>
      </c>
      <c r="E3" s="4" t="s">
        <v>185</v>
      </c>
      <c r="F3" s="5">
        <v>5.27</v>
      </c>
      <c r="G3" s="5">
        <f t="shared" ref="G3:G6" si="0">0.693/F3</f>
        <v>0.13149905123339659</v>
      </c>
      <c r="H3" s="5">
        <f>'Isotope Specific Factors'!D12</f>
        <v>2.23E-11</v>
      </c>
      <c r="Q3" s="6"/>
    </row>
    <row r="4" spans="1:17" x14ac:dyDescent="0.25">
      <c r="A4" s="9" t="s">
        <v>11</v>
      </c>
      <c r="B4" s="4">
        <f>(($B$5)*($B$6)*(B11))+(($B$8)*($B$9)*(B12))</f>
        <v>1589350</v>
      </c>
      <c r="D4" s="4" t="s">
        <v>4</v>
      </c>
      <c r="E4" s="4" t="s">
        <v>185</v>
      </c>
      <c r="F4" s="5">
        <v>12.3</v>
      </c>
      <c r="G4" s="5">
        <f t="shared" si="0"/>
        <v>5.6341463414634141E-2</v>
      </c>
      <c r="H4" s="5">
        <f>'Isotope Specific Factors'!D14</f>
        <v>1.4399999999999999E-13</v>
      </c>
      <c r="Q4" s="6"/>
    </row>
    <row r="5" spans="1:17" x14ac:dyDescent="0.25">
      <c r="A5" s="2" t="s">
        <v>13</v>
      </c>
      <c r="B5" s="4">
        <v>350</v>
      </c>
      <c r="D5" s="4" t="s">
        <v>4</v>
      </c>
      <c r="E5" s="4" t="s">
        <v>158</v>
      </c>
      <c r="F5" s="5">
        <v>12.3</v>
      </c>
      <c r="G5" s="5">
        <f t="shared" ref="G5" si="1">0.693/F5</f>
        <v>5.6341463414634141E-2</v>
      </c>
      <c r="H5" s="5">
        <f>'Isotope Specific Factors'!D13</f>
        <v>6.5099999999999995E-14</v>
      </c>
    </row>
    <row r="6" spans="1:17" x14ac:dyDescent="0.25">
      <c r="A6" s="2" t="s">
        <v>14</v>
      </c>
      <c r="B6" s="4">
        <v>6</v>
      </c>
      <c r="D6" s="4" t="s">
        <v>5</v>
      </c>
      <c r="E6" s="4" t="s">
        <v>185</v>
      </c>
      <c r="F6" s="5">
        <v>87.7</v>
      </c>
      <c r="G6" s="5">
        <f t="shared" si="0"/>
        <v>7.9019384264538192E-3</v>
      </c>
      <c r="H6" s="5">
        <f>'Isotope Specific Factors'!D15</f>
        <v>1.6900000000000001E-10</v>
      </c>
    </row>
    <row r="7" spans="1:17" x14ac:dyDescent="0.25">
      <c r="A7" s="2" t="s">
        <v>15</v>
      </c>
      <c r="B7" s="4">
        <v>68.099999999999994</v>
      </c>
    </row>
    <row r="8" spans="1:17" ht="39" thickBot="1" x14ac:dyDescent="0.3">
      <c r="A8" s="2" t="s">
        <v>16</v>
      </c>
      <c r="B8" s="4">
        <v>350</v>
      </c>
      <c r="D8" s="10"/>
      <c r="E8" s="10"/>
      <c r="F8" s="74" t="s">
        <v>44</v>
      </c>
      <c r="G8" s="75" t="s">
        <v>45</v>
      </c>
      <c r="H8" s="75" t="s">
        <v>46</v>
      </c>
      <c r="I8" s="75" t="s">
        <v>47</v>
      </c>
      <c r="J8" s="75" t="s">
        <v>48</v>
      </c>
      <c r="K8" s="75" t="s">
        <v>49</v>
      </c>
      <c r="L8" s="75" t="s">
        <v>50</v>
      </c>
    </row>
    <row r="9" spans="1:17" ht="15" customHeight="1" x14ac:dyDescent="0.25">
      <c r="A9" s="2" t="s">
        <v>17</v>
      </c>
      <c r="B9" s="4">
        <v>34</v>
      </c>
      <c r="D9" s="236" t="s">
        <v>2</v>
      </c>
      <c r="E9" s="242" t="s">
        <v>185</v>
      </c>
      <c r="F9" s="22">
        <f>$B$2</f>
        <v>9.9999999999999995E-7</v>
      </c>
      <c r="G9" s="22">
        <f t="shared" ref="G9:L9" si="2">$B$2</f>
        <v>9.9999999999999995E-7</v>
      </c>
      <c r="H9" s="22">
        <f t="shared" si="2"/>
        <v>9.9999999999999995E-7</v>
      </c>
      <c r="I9" s="22">
        <f t="shared" si="2"/>
        <v>9.9999999999999995E-7</v>
      </c>
      <c r="J9" s="22">
        <f t="shared" si="2"/>
        <v>9.9999999999999995E-7</v>
      </c>
      <c r="K9" s="22">
        <f t="shared" si="2"/>
        <v>9.9999999999999995E-7</v>
      </c>
      <c r="L9" s="67">
        <f t="shared" si="2"/>
        <v>9.9999999999999995E-7</v>
      </c>
    </row>
    <row r="10" spans="1:17" x14ac:dyDescent="0.25">
      <c r="A10" s="2" t="s">
        <v>18</v>
      </c>
      <c r="B10" s="4">
        <v>178.1</v>
      </c>
      <c r="D10" s="237"/>
      <c r="E10" s="243"/>
      <c r="F10" s="8">
        <f>(H2)*($B$22+$B$4)*($B$13)</f>
        <v>5.1080666000000001E-4</v>
      </c>
      <c r="G10" s="8">
        <f>(H2)*($B$14)*($B$17)</f>
        <v>1.7646594000000001E-4</v>
      </c>
      <c r="H10" s="8">
        <f>(H2)*($B$18)*($B$21)</f>
        <v>8.8073510000000004E-5</v>
      </c>
      <c r="I10" s="8">
        <f>(H2)*($B$22)*($B$25)</f>
        <v>2.9783376000000001E-4</v>
      </c>
      <c r="J10" s="8">
        <f>(H2)*($B$26)*($B$29)</f>
        <v>8.0890306000000001E-4</v>
      </c>
      <c r="K10" s="8">
        <f>(H2)*($B$30)*($B$33)</f>
        <v>1.6115778000000002E-4</v>
      </c>
      <c r="L10" s="17">
        <f>(H2)*($B$34)*($B$37)</f>
        <v>2.5894428000000001E-4</v>
      </c>
    </row>
    <row r="11" spans="1:17" ht="15.75" thickBot="1" x14ac:dyDescent="0.3">
      <c r="A11" s="2" t="s">
        <v>19</v>
      </c>
      <c r="B11" s="4">
        <v>41.7</v>
      </c>
      <c r="D11" s="238"/>
      <c r="E11" s="244"/>
      <c r="F11" s="68">
        <f>F9/F10</f>
        <v>1.9576878656985403E-3</v>
      </c>
      <c r="G11" s="68">
        <f t="shared" ref="G11:L11" si="3">G9/G10</f>
        <v>5.6668159305982777E-3</v>
      </c>
      <c r="H11" s="68">
        <f t="shared" si="3"/>
        <v>1.1354151776169701E-2</v>
      </c>
      <c r="I11" s="68">
        <f t="shared" si="3"/>
        <v>3.3575777306105257E-3</v>
      </c>
      <c r="J11" s="68">
        <f t="shared" si="3"/>
        <v>1.2362420782534805E-3</v>
      </c>
      <c r="K11" s="68">
        <f t="shared" si="3"/>
        <v>6.2050991270790638E-3</v>
      </c>
      <c r="L11" s="69">
        <f t="shared" si="3"/>
        <v>3.8618346773290372E-3</v>
      </c>
    </row>
    <row r="12" spans="1:17" x14ac:dyDescent="0.25">
      <c r="A12" s="2" t="s">
        <v>20</v>
      </c>
      <c r="B12" s="4">
        <v>126.2</v>
      </c>
      <c r="D12" s="236" t="s">
        <v>3</v>
      </c>
      <c r="E12" s="242" t="s">
        <v>185</v>
      </c>
      <c r="F12" s="22">
        <f>$B$2</f>
        <v>9.9999999999999995E-7</v>
      </c>
      <c r="G12" s="22">
        <f t="shared" ref="G12:L12" si="4">$B$2</f>
        <v>9.9999999999999995E-7</v>
      </c>
      <c r="H12" s="22">
        <f t="shared" si="4"/>
        <v>9.9999999999999995E-7</v>
      </c>
      <c r="I12" s="22">
        <f t="shared" si="4"/>
        <v>9.9999999999999995E-7</v>
      </c>
      <c r="J12" s="22">
        <f t="shared" si="4"/>
        <v>9.9999999999999995E-7</v>
      </c>
      <c r="K12" s="22">
        <f t="shared" si="4"/>
        <v>9.9999999999999995E-7</v>
      </c>
      <c r="L12" s="67">
        <f t="shared" si="4"/>
        <v>9.9999999999999995E-7</v>
      </c>
    </row>
    <row r="13" spans="1:17" x14ac:dyDescent="0.25">
      <c r="A13" s="2" t="s">
        <v>12</v>
      </c>
      <c r="B13" s="4">
        <v>1</v>
      </c>
      <c r="D13" s="237"/>
      <c r="E13" s="243"/>
      <c r="F13" s="8">
        <f>(H3)*($B$22+$B$4)*($B$13)</f>
        <v>8.5007377000000006E-5</v>
      </c>
      <c r="G13" s="8">
        <f>(H3)*($B$14)*($B$17)</f>
        <v>2.9367093E-5</v>
      </c>
      <c r="H13" s="8">
        <f>(H3)*($B$18)*($B$21)</f>
        <v>1.46570095E-5</v>
      </c>
      <c r="I13" s="8">
        <f>(H3)*($B$22)*($B$25)</f>
        <v>4.9564872E-5</v>
      </c>
      <c r="J13" s="8">
        <f>(H3)*($B$26)*($B$29)</f>
        <v>1.3461595700000001E-4</v>
      </c>
      <c r="K13" s="8">
        <f>(H3)*($B$30)*($B$33)</f>
        <v>2.6819540999999998E-5</v>
      </c>
      <c r="L13" s="17">
        <f>(H3)*($B$34)*($B$37)</f>
        <v>4.3092966000000003E-5</v>
      </c>
    </row>
    <row r="14" spans="1:17" ht="15.75" thickBot="1" x14ac:dyDescent="0.3">
      <c r="A14" s="9" t="s">
        <v>21</v>
      </c>
      <c r="B14" s="4">
        <f>(($B$5)*($B$6)*(B15))+(($B$8)*($B$9)*(B16))</f>
        <v>1316910</v>
      </c>
      <c r="D14" s="238"/>
      <c r="E14" s="244"/>
      <c r="F14" s="68">
        <f>F12/F13</f>
        <v>1.1763684932897058E-2</v>
      </c>
      <c r="G14" s="68">
        <f t="shared" ref="G14:L14" si="5">G12/G13</f>
        <v>3.4051719044850645E-2</v>
      </c>
      <c r="H14" s="68">
        <f t="shared" si="5"/>
        <v>6.8226741614652017E-2</v>
      </c>
      <c r="I14" s="68">
        <f t="shared" si="5"/>
        <v>2.0175579188421992E-2</v>
      </c>
      <c r="J14" s="68">
        <f t="shared" si="5"/>
        <v>7.4285398424200179E-3</v>
      </c>
      <c r="K14" s="68">
        <f t="shared" si="5"/>
        <v>3.7286245875721734E-2</v>
      </c>
      <c r="L14" s="69">
        <f t="shared" si="5"/>
        <v>2.3205643352560135E-2</v>
      </c>
    </row>
    <row r="15" spans="1:17" x14ac:dyDescent="0.25">
      <c r="A15" s="2" t="s">
        <v>22</v>
      </c>
      <c r="B15" s="4">
        <v>23.6</v>
      </c>
      <c r="D15" s="236" t="s">
        <v>4</v>
      </c>
      <c r="E15" s="242" t="s">
        <v>185</v>
      </c>
      <c r="F15" s="22">
        <f>$B$2</f>
        <v>9.9999999999999995E-7</v>
      </c>
      <c r="G15" s="22">
        <f t="shared" ref="G15:L15" si="6">$B$2</f>
        <v>9.9999999999999995E-7</v>
      </c>
      <c r="H15" s="22">
        <f t="shared" si="6"/>
        <v>9.9999999999999995E-7</v>
      </c>
      <c r="I15" s="22">
        <f t="shared" si="6"/>
        <v>9.9999999999999995E-7</v>
      </c>
      <c r="J15" s="22">
        <f t="shared" si="6"/>
        <v>9.9999999999999995E-7</v>
      </c>
      <c r="K15" s="22">
        <f t="shared" si="6"/>
        <v>9.9999999999999995E-7</v>
      </c>
      <c r="L15" s="67">
        <f t="shared" si="6"/>
        <v>9.9999999999999995E-7</v>
      </c>
    </row>
    <row r="16" spans="1:17" ht="15.75" customHeight="1" x14ac:dyDescent="0.25">
      <c r="A16" s="2" t="s">
        <v>23</v>
      </c>
      <c r="B16" s="4">
        <v>106.5</v>
      </c>
      <c r="D16" s="237"/>
      <c r="E16" s="243"/>
      <c r="F16" s="8">
        <f>(H4)*($B$22+$B$4)*($B$13)</f>
        <v>5.4892655999999994E-7</v>
      </c>
      <c r="G16" s="8">
        <f>(H4)*($B$14)*($B$17)</f>
        <v>1.8963503999999998E-7</v>
      </c>
      <c r="H16" s="8">
        <f>(H4)*($B$18)*($B$21)</f>
        <v>9.4646159999999997E-8</v>
      </c>
      <c r="I16" s="8">
        <f>(H4)*($B$22)*($B$25)</f>
        <v>3.2006015999999997E-7</v>
      </c>
      <c r="J16" s="8">
        <f>(H4)*($B$26)*($B$29)</f>
        <v>8.6926895999999993E-7</v>
      </c>
      <c r="K16" s="8">
        <f>(H4)*($B$30)*($B$33)</f>
        <v>1.7318447999999999E-7</v>
      </c>
      <c r="L16" s="17">
        <f>(H4)*($B$34)*($B$37)</f>
        <v>2.7826848000000001E-7</v>
      </c>
    </row>
    <row r="17" spans="1:13" ht="15.75" thickBot="1" x14ac:dyDescent="0.3">
      <c r="A17" s="2" t="s">
        <v>24</v>
      </c>
      <c r="B17" s="4">
        <v>1</v>
      </c>
      <c r="D17" s="238"/>
      <c r="E17" s="244"/>
      <c r="F17" s="68">
        <f>F15/F16</f>
        <v>1.8217373194694753</v>
      </c>
      <c r="G17" s="68">
        <f t="shared" ref="G17:L17" si="7">G15/G16</f>
        <v>5.2732870465289539</v>
      </c>
      <c r="H17" s="68">
        <f t="shared" si="7"/>
        <v>10.565669013935695</v>
      </c>
      <c r="I17" s="68">
        <f t="shared" si="7"/>
        <v>3.1244126104292396</v>
      </c>
      <c r="J17" s="68">
        <f t="shared" si="7"/>
        <v>1.1503919339303224</v>
      </c>
      <c r="K17" s="68">
        <f t="shared" si="7"/>
        <v>5.7741894654763524</v>
      </c>
      <c r="L17" s="69">
        <f t="shared" si="7"/>
        <v>3.5936517136256323</v>
      </c>
    </row>
    <row r="18" spans="1:13" x14ac:dyDescent="0.25">
      <c r="A18" s="9" t="s">
        <v>27</v>
      </c>
      <c r="B18" s="4">
        <f>(($B$5)*($B$6)*(B19))+(($B$8)*($B$9)*(B20))</f>
        <v>657265</v>
      </c>
      <c r="D18" s="236" t="s">
        <v>4</v>
      </c>
      <c r="E18" s="242" t="s">
        <v>158</v>
      </c>
      <c r="F18" s="22">
        <f>$B$2</f>
        <v>9.9999999999999995E-7</v>
      </c>
      <c r="G18" s="22">
        <f t="shared" ref="G18:L18" si="8">$B$2</f>
        <v>9.9999999999999995E-7</v>
      </c>
      <c r="H18" s="22">
        <f t="shared" si="8"/>
        <v>9.9999999999999995E-7</v>
      </c>
      <c r="I18" s="22">
        <f t="shared" si="8"/>
        <v>9.9999999999999995E-7</v>
      </c>
      <c r="J18" s="22">
        <f t="shared" si="8"/>
        <v>9.9999999999999995E-7</v>
      </c>
      <c r="K18" s="22">
        <f t="shared" si="8"/>
        <v>9.9999999999999995E-7</v>
      </c>
      <c r="L18" s="67">
        <f t="shared" si="8"/>
        <v>9.9999999999999995E-7</v>
      </c>
    </row>
    <row r="19" spans="1:13" x14ac:dyDescent="0.25">
      <c r="A19" s="2" t="s">
        <v>25</v>
      </c>
      <c r="B19" s="4">
        <v>10.95</v>
      </c>
      <c r="D19" s="237"/>
      <c r="E19" s="243"/>
      <c r="F19" s="8">
        <f>(H5)*($B$22+$B$4)*($B$13)</f>
        <v>2.48160549E-7</v>
      </c>
      <c r="G19" s="8">
        <f>(H5)*($B$14)*($B$17)</f>
        <v>8.5730840999999994E-8</v>
      </c>
      <c r="H19" s="8">
        <f>(H5)*($B$18)*($B$21)</f>
        <v>4.2787951499999995E-8</v>
      </c>
      <c r="I19" s="8">
        <f>(H5)*($B$22)*($B$25)</f>
        <v>1.4469386399999999E-7</v>
      </c>
      <c r="J19" s="8">
        <f>(H5)*($B$26)*($B$29)</f>
        <v>3.92982009E-7</v>
      </c>
      <c r="K19" s="8">
        <f>(H5)*($B$30)*($B$33)</f>
        <v>7.8293816999999997E-8</v>
      </c>
      <c r="L19" s="17">
        <f>(H5)*($B$34)*($B$37)</f>
        <v>1.2580054199999998E-7</v>
      </c>
    </row>
    <row r="20" spans="1:13" ht="15.75" thickBot="1" x14ac:dyDescent="0.3">
      <c r="A20" s="2" t="s">
        <v>26</v>
      </c>
      <c r="B20" s="4">
        <v>53.3</v>
      </c>
      <c r="D20" s="238"/>
      <c r="E20" s="244"/>
      <c r="F20" s="68">
        <f>F18/F19</f>
        <v>4.0296493702550604</v>
      </c>
      <c r="G20" s="68">
        <f t="shared" ref="G20:L20" si="9">G18/G19</f>
        <v>11.664413743474183</v>
      </c>
      <c r="H20" s="68">
        <f t="shared" si="9"/>
        <v>23.371065099949927</v>
      </c>
      <c r="I20" s="68">
        <f t="shared" si="9"/>
        <v>6.9111431014102989</v>
      </c>
      <c r="J20" s="68">
        <f t="shared" si="9"/>
        <v>2.5446457524726025</v>
      </c>
      <c r="K20" s="68">
        <f t="shared" si="9"/>
        <v>12.772400660961516</v>
      </c>
      <c r="L20" s="69">
        <f t="shared" si="9"/>
        <v>7.9490913481119989</v>
      </c>
    </row>
    <row r="21" spans="1:13" x14ac:dyDescent="0.25">
      <c r="A21" s="2" t="s">
        <v>28</v>
      </c>
      <c r="B21" s="4">
        <v>1</v>
      </c>
      <c r="D21" s="236" t="s">
        <v>5</v>
      </c>
      <c r="E21" s="242" t="s">
        <v>185</v>
      </c>
      <c r="F21" s="22">
        <f>$B$2</f>
        <v>9.9999999999999995E-7</v>
      </c>
      <c r="G21" s="22">
        <f t="shared" ref="G21:L21" si="10">$B$2</f>
        <v>9.9999999999999995E-7</v>
      </c>
      <c r="H21" s="22">
        <f t="shared" si="10"/>
        <v>9.9999999999999995E-7</v>
      </c>
      <c r="I21" s="22">
        <f t="shared" si="10"/>
        <v>9.9999999999999995E-7</v>
      </c>
      <c r="J21" s="22">
        <f t="shared" si="10"/>
        <v>9.9999999999999995E-7</v>
      </c>
      <c r="K21" s="22">
        <f t="shared" si="10"/>
        <v>9.9999999999999995E-7</v>
      </c>
      <c r="L21" s="67">
        <f t="shared" si="10"/>
        <v>9.9999999999999995E-7</v>
      </c>
    </row>
    <row r="22" spans="1:13" x14ac:dyDescent="0.25">
      <c r="A22" s="9" t="s">
        <v>29</v>
      </c>
      <c r="B22" s="4">
        <f>(($B$5)*($B$6)*(B23))+(($B$8)*($B$9)*(B24))</f>
        <v>2222640</v>
      </c>
      <c r="D22" s="237"/>
      <c r="E22" s="243"/>
      <c r="F22" s="8">
        <f>(H6)*($B$22+$B$4)*($B$13)</f>
        <v>6.4422631000000008E-4</v>
      </c>
      <c r="G22" s="8">
        <f>(H6)*($B$14)*($B$17)</f>
        <v>2.2255779E-4</v>
      </c>
      <c r="H22" s="8">
        <f>(H6)*($B$18)*($B$21)</f>
        <v>1.11077785E-4</v>
      </c>
      <c r="I22" s="8">
        <f>(H6)*($B$22)*($B$25)</f>
        <v>3.7562616000000001E-4</v>
      </c>
      <c r="J22" s="8">
        <f>(H6)*($B$26)*($B$29)</f>
        <v>1.02018371E-3</v>
      </c>
      <c r="K22" s="8">
        <f>(H6)*($B$30)*($B$33)</f>
        <v>2.0325123000000003E-4</v>
      </c>
      <c r="L22" s="17">
        <f>(H6)*($B$34)*($B$37)</f>
        <v>3.2657898000000004E-4</v>
      </c>
    </row>
    <row r="23" spans="1:13" ht="15" customHeight="1" thickBot="1" x14ac:dyDescent="0.3">
      <c r="A23" s="2" t="s">
        <v>30</v>
      </c>
      <c r="B23" s="4">
        <v>40.1</v>
      </c>
      <c r="D23" s="238"/>
      <c r="E23" s="244"/>
      <c r="F23" s="68">
        <f>F21/F22</f>
        <v>1.5522495503171856E-3</v>
      </c>
      <c r="G23" s="68">
        <f t="shared" ref="G23:L23" si="11">G21/G22</f>
        <v>4.4932149982258541E-3</v>
      </c>
      <c r="H23" s="68">
        <f t="shared" si="11"/>
        <v>9.0027002248919529E-3</v>
      </c>
      <c r="I23" s="68">
        <f t="shared" si="11"/>
        <v>2.6622213958687009E-3</v>
      </c>
      <c r="J23" s="72">
        <f t="shared" si="11"/>
        <v>9.802156123429964E-4</v>
      </c>
      <c r="K23" s="72">
        <f t="shared" si="11"/>
        <v>4.9200194262047012E-3</v>
      </c>
      <c r="L23" s="73">
        <f t="shared" si="11"/>
        <v>3.0620464305449171E-3</v>
      </c>
    </row>
    <row r="24" spans="1:13" ht="15.75" thickBot="1" x14ac:dyDescent="0.3">
      <c r="A24" s="2" t="s">
        <v>31</v>
      </c>
      <c r="B24" s="4">
        <v>179.7</v>
      </c>
      <c r="D24" s="70"/>
      <c r="E24" s="71"/>
      <c r="F24" s="76" t="s">
        <v>51</v>
      </c>
      <c r="G24" s="76" t="s">
        <v>52</v>
      </c>
      <c r="H24" s="77" t="s">
        <v>53</v>
      </c>
      <c r="I24" s="70"/>
      <c r="J24" s="71"/>
      <c r="K24" s="76" t="s">
        <v>51</v>
      </c>
      <c r="L24" s="76" t="s">
        <v>52</v>
      </c>
      <c r="M24" s="77" t="s">
        <v>53</v>
      </c>
    </row>
    <row r="25" spans="1:13" x14ac:dyDescent="0.25">
      <c r="A25" s="2" t="s">
        <v>55</v>
      </c>
      <c r="B25" s="4">
        <v>1</v>
      </c>
      <c r="D25" s="239" t="s">
        <v>2</v>
      </c>
      <c r="E25" s="14" t="s">
        <v>54</v>
      </c>
      <c r="F25" s="15">
        <v>1.9599999999999999E-3</v>
      </c>
      <c r="G25" s="15">
        <v>1.9400000000000001E-3</v>
      </c>
      <c r="H25" s="16">
        <f t="shared" ref="H25:H38" si="12">(F25-G25)/((1/2)*(F25+G25))</f>
        <v>1.0256410256410173E-2</v>
      </c>
      <c r="I25" s="239" t="s">
        <v>4</v>
      </c>
      <c r="J25" s="14" t="s">
        <v>54</v>
      </c>
      <c r="K25" s="15">
        <v>1.82</v>
      </c>
      <c r="L25" s="15">
        <v>1.8</v>
      </c>
      <c r="M25" s="16">
        <f>(K25-L25)/((1/2)*(K25+L25))</f>
        <v>1.1049723756906087E-2</v>
      </c>
    </row>
    <row r="26" spans="1:13" x14ac:dyDescent="0.25">
      <c r="A26" s="9" t="s">
        <v>32</v>
      </c>
      <c r="B26" s="4">
        <f>(($B$5)*($B$6)*(B27))+(($B$8)*($B$9)*(B28))</f>
        <v>6036590</v>
      </c>
      <c r="D26" s="240"/>
      <c r="E26" s="2" t="s">
        <v>45</v>
      </c>
      <c r="F26" s="5">
        <v>5.6699999999999997E-3</v>
      </c>
      <c r="G26" s="5">
        <v>5.6899999999999997E-3</v>
      </c>
      <c r="H26" s="18">
        <f t="shared" si="12"/>
        <v>-3.5211267605633899E-3</v>
      </c>
      <c r="I26" s="240"/>
      <c r="J26" s="2" t="s">
        <v>45</v>
      </c>
      <c r="K26" s="5">
        <v>5.27</v>
      </c>
      <c r="L26" s="5">
        <v>5.27</v>
      </c>
      <c r="M26" s="18">
        <f t="shared" ref="M26:M31" si="13">(K26-L26)/((1/2)*(K26+L26))</f>
        <v>0</v>
      </c>
    </row>
    <row r="27" spans="1:13" x14ac:dyDescent="0.25">
      <c r="A27" s="2" t="s">
        <v>33</v>
      </c>
      <c r="B27" s="4">
        <v>349.5</v>
      </c>
      <c r="D27" s="240"/>
      <c r="E27" s="2" t="s">
        <v>46</v>
      </c>
      <c r="F27" s="5">
        <v>1.14E-2</v>
      </c>
      <c r="G27" s="5">
        <v>1.14E-2</v>
      </c>
      <c r="H27" s="18">
        <f t="shared" si="12"/>
        <v>0</v>
      </c>
      <c r="I27" s="240"/>
      <c r="J27" s="2" t="s">
        <v>46</v>
      </c>
      <c r="K27" s="5">
        <v>10.6</v>
      </c>
      <c r="L27" s="5">
        <v>10.6</v>
      </c>
      <c r="M27" s="18">
        <f t="shared" si="13"/>
        <v>0</v>
      </c>
    </row>
    <row r="28" spans="1:13" ht="36.75" customHeight="1" x14ac:dyDescent="0.25">
      <c r="A28" s="2" t="s">
        <v>34</v>
      </c>
      <c r="B28" s="4">
        <v>445.6</v>
      </c>
      <c r="D28" s="240"/>
      <c r="E28" s="2" t="s">
        <v>47</v>
      </c>
      <c r="F28" s="5">
        <v>3.3600000000000001E-3</v>
      </c>
      <c r="G28" s="5">
        <v>3.3700000000000002E-3</v>
      </c>
      <c r="H28" s="18">
        <f t="shared" si="12"/>
        <v>-2.9717682020802454E-3</v>
      </c>
      <c r="I28" s="240"/>
      <c r="J28" s="2" t="s">
        <v>47</v>
      </c>
      <c r="K28" s="5">
        <v>3.12</v>
      </c>
      <c r="L28" s="5">
        <v>3.12</v>
      </c>
      <c r="M28" s="18">
        <f t="shared" si="13"/>
        <v>0</v>
      </c>
    </row>
    <row r="29" spans="1:13" x14ac:dyDescent="0.25">
      <c r="A29" s="2" t="s">
        <v>35</v>
      </c>
      <c r="B29" s="4">
        <v>1</v>
      </c>
      <c r="D29" s="240"/>
      <c r="E29" s="2" t="s">
        <v>48</v>
      </c>
      <c r="F29" s="5">
        <v>1.24E-3</v>
      </c>
      <c r="G29" s="5">
        <v>1.24E-3</v>
      </c>
      <c r="H29" s="18">
        <f t="shared" si="12"/>
        <v>0</v>
      </c>
      <c r="I29" s="240"/>
      <c r="J29" s="2" t="s">
        <v>48</v>
      </c>
      <c r="K29" s="5">
        <v>1.1499999999999999</v>
      </c>
      <c r="L29" s="5">
        <v>1.1499999999999999</v>
      </c>
      <c r="M29" s="18">
        <f t="shared" si="13"/>
        <v>0</v>
      </c>
    </row>
    <row r="30" spans="1:13" x14ac:dyDescent="0.25">
      <c r="A30" s="9" t="s">
        <v>36</v>
      </c>
      <c r="B30" s="4">
        <f>(($B$5)*($B$6)*(B31))+(($B$8)*($B$9)*(B32))</f>
        <v>1202670</v>
      </c>
      <c r="D30" s="240"/>
      <c r="E30" s="2" t="s">
        <v>49</v>
      </c>
      <c r="F30" s="5">
        <v>6.2100000000000002E-3</v>
      </c>
      <c r="G30" s="5">
        <v>6.2300000000000003E-3</v>
      </c>
      <c r="H30" s="18">
        <f t="shared" si="12"/>
        <v>-3.2154340836012948E-3</v>
      </c>
      <c r="I30" s="240"/>
      <c r="J30" s="2" t="s">
        <v>49</v>
      </c>
      <c r="K30" s="5">
        <v>5.77</v>
      </c>
      <c r="L30" s="5">
        <v>5.77</v>
      </c>
      <c r="M30" s="18">
        <f t="shared" si="13"/>
        <v>0</v>
      </c>
    </row>
    <row r="31" spans="1:13" ht="15.75" thickBot="1" x14ac:dyDescent="0.3">
      <c r="A31" s="2" t="s">
        <v>37</v>
      </c>
      <c r="B31" s="4">
        <v>18.5</v>
      </c>
      <c r="D31" s="241"/>
      <c r="E31" s="19" t="s">
        <v>50</v>
      </c>
      <c r="F31" s="20">
        <v>3.8600000000000001E-3</v>
      </c>
      <c r="G31" s="20">
        <v>3.8700000000000002E-3</v>
      </c>
      <c r="H31" s="21">
        <f t="shared" si="12"/>
        <v>-2.5873221216041464E-3</v>
      </c>
      <c r="I31" s="241"/>
      <c r="J31" s="19" t="s">
        <v>50</v>
      </c>
      <c r="K31" s="20">
        <v>3.59</v>
      </c>
      <c r="L31" s="20">
        <v>3.59</v>
      </c>
      <c r="M31" s="21">
        <f t="shared" si="13"/>
        <v>0</v>
      </c>
    </row>
    <row r="32" spans="1:13" x14ac:dyDescent="0.25">
      <c r="A32" s="2" t="s">
        <v>38</v>
      </c>
      <c r="B32" s="4">
        <v>97.8</v>
      </c>
      <c r="D32" s="239" t="s">
        <v>3</v>
      </c>
      <c r="E32" s="14" t="s">
        <v>54</v>
      </c>
      <c r="F32" s="15">
        <v>1.18E-2</v>
      </c>
      <c r="G32" s="15">
        <v>1.1599999999999999E-2</v>
      </c>
      <c r="H32" s="16">
        <f t="shared" si="12"/>
        <v>1.7094017094017141E-2</v>
      </c>
      <c r="I32" s="239" t="s">
        <v>5</v>
      </c>
      <c r="J32" s="14" t="s">
        <v>54</v>
      </c>
      <c r="K32" s="15">
        <v>1.5499999999999999E-3</v>
      </c>
      <c r="L32" s="15">
        <v>1.5299999999999999E-3</v>
      </c>
      <c r="M32" s="16">
        <f>(K32-L32)/((1/2)*(K32+L32))</f>
        <v>1.2987012987013023E-2</v>
      </c>
    </row>
    <row r="33" spans="1:13" x14ac:dyDescent="0.25">
      <c r="A33" s="2" t="s">
        <v>39</v>
      </c>
      <c r="B33" s="4">
        <v>1</v>
      </c>
      <c r="D33" s="240"/>
      <c r="E33" s="2" t="s">
        <v>45</v>
      </c>
      <c r="F33" s="5">
        <v>3.4099999999999998E-2</v>
      </c>
      <c r="G33" s="5">
        <v>3.4000000000000002E-2</v>
      </c>
      <c r="H33" s="18">
        <f t="shared" si="12"/>
        <v>2.9368575624081038E-3</v>
      </c>
      <c r="I33" s="240"/>
      <c r="J33" s="2" t="s">
        <v>45</v>
      </c>
      <c r="K33" s="5">
        <v>4.4900000000000001E-3</v>
      </c>
      <c r="L33" s="5">
        <v>4.4799999999999996E-3</v>
      </c>
      <c r="M33" s="18">
        <f t="shared" ref="M33:M38" si="14">(K33-L33)/((1/2)*(K33+L33))</f>
        <v>2.2296544035675498E-3</v>
      </c>
    </row>
    <row r="34" spans="1:13" x14ac:dyDescent="0.25">
      <c r="A34" s="9" t="s">
        <v>40</v>
      </c>
      <c r="B34" s="4">
        <f>(($B$5)*($B$6)*(B35))+(($B$8)*($B$9)*(B36))</f>
        <v>1932420</v>
      </c>
      <c r="D34" s="240"/>
      <c r="E34" s="2" t="s">
        <v>46</v>
      </c>
      <c r="F34" s="5">
        <v>6.8199999999999997E-2</v>
      </c>
      <c r="G34" s="5">
        <v>6.8199999999999997E-2</v>
      </c>
      <c r="H34" s="18">
        <f t="shared" si="12"/>
        <v>0</v>
      </c>
      <c r="I34" s="240"/>
      <c r="J34" s="2" t="s">
        <v>46</v>
      </c>
      <c r="K34" s="5">
        <v>8.9999999999999993E-3</v>
      </c>
      <c r="L34" s="5">
        <v>8.9800000000000001E-3</v>
      </c>
      <c r="M34" s="18">
        <f t="shared" si="14"/>
        <v>2.2246941045605323E-3</v>
      </c>
    </row>
    <row r="35" spans="1:13" x14ac:dyDescent="0.25">
      <c r="A35" s="2" t="s">
        <v>41</v>
      </c>
      <c r="B35" s="4">
        <v>32.799999999999997</v>
      </c>
      <c r="D35" s="240"/>
      <c r="E35" s="2" t="s">
        <v>47</v>
      </c>
      <c r="F35" s="5">
        <v>2.0199999999999999E-2</v>
      </c>
      <c r="G35" s="5">
        <v>2.0199999999999999E-2</v>
      </c>
      <c r="H35" s="18">
        <f t="shared" si="12"/>
        <v>0</v>
      </c>
      <c r="I35" s="240"/>
      <c r="J35" s="2" t="s">
        <v>47</v>
      </c>
      <c r="K35" s="5">
        <v>2.66E-3</v>
      </c>
      <c r="L35" s="5">
        <v>2.65E-3</v>
      </c>
      <c r="M35" s="18">
        <f t="shared" si="14"/>
        <v>3.7664783427495386E-3</v>
      </c>
    </row>
    <row r="36" spans="1:13" x14ac:dyDescent="0.25">
      <c r="A36" s="2" t="s">
        <v>42</v>
      </c>
      <c r="B36" s="4">
        <v>156.6</v>
      </c>
      <c r="D36" s="240"/>
      <c r="E36" s="2" t="s">
        <v>48</v>
      </c>
      <c r="F36" s="5">
        <v>7.43E-3</v>
      </c>
      <c r="G36" s="5">
        <v>7.4200000000000004E-3</v>
      </c>
      <c r="H36" s="18">
        <f t="shared" si="12"/>
        <v>1.3468013468012918E-3</v>
      </c>
      <c r="I36" s="240"/>
      <c r="J36" s="2" t="s">
        <v>48</v>
      </c>
      <c r="K36" s="5">
        <v>9.7999999999999997E-4</v>
      </c>
      <c r="L36" s="5">
        <v>9.7799999999999992E-4</v>
      </c>
      <c r="M36" s="18">
        <f t="shared" si="14"/>
        <v>2.0429009193054636E-3</v>
      </c>
    </row>
    <row r="37" spans="1:13" x14ac:dyDescent="0.25">
      <c r="A37" s="2" t="s">
        <v>43</v>
      </c>
      <c r="B37" s="4">
        <v>1</v>
      </c>
      <c r="D37" s="240"/>
      <c r="E37" s="2" t="s">
        <v>49</v>
      </c>
      <c r="F37" s="5">
        <v>3.73E-2</v>
      </c>
      <c r="G37" s="5">
        <v>3.73E-2</v>
      </c>
      <c r="H37" s="18">
        <f t="shared" si="12"/>
        <v>0</v>
      </c>
      <c r="I37" s="240"/>
      <c r="J37" s="2" t="s">
        <v>49</v>
      </c>
      <c r="K37" s="5">
        <v>4.9199999999999999E-3</v>
      </c>
      <c r="L37" s="5">
        <v>4.9100000000000003E-3</v>
      </c>
      <c r="M37" s="18">
        <f t="shared" si="14"/>
        <v>2.0345879959307411E-3</v>
      </c>
    </row>
    <row r="38" spans="1:13" ht="15.75" thickBot="1" x14ac:dyDescent="0.3">
      <c r="D38" s="241"/>
      <c r="E38" s="19" t="s">
        <v>50</v>
      </c>
      <c r="F38" s="20">
        <v>2.3199999999999998E-2</v>
      </c>
      <c r="G38" s="20">
        <v>2.3199999999999998E-2</v>
      </c>
      <c r="H38" s="21">
        <f t="shared" si="12"/>
        <v>0</v>
      </c>
      <c r="I38" s="241"/>
      <c r="J38" s="19" t="s">
        <v>50</v>
      </c>
      <c r="K38" s="20">
        <v>3.0599999999999998E-3</v>
      </c>
      <c r="L38" s="20">
        <v>3.0500000000000002E-3</v>
      </c>
      <c r="M38" s="21">
        <f t="shared" si="14"/>
        <v>3.2733224222584591E-3</v>
      </c>
    </row>
  </sheetData>
  <mergeCells count="14">
    <mergeCell ref="D15:D17"/>
    <mergeCell ref="D12:D14"/>
    <mergeCell ref="D9:D11"/>
    <mergeCell ref="I25:I31"/>
    <mergeCell ref="I32:I38"/>
    <mergeCell ref="D32:D38"/>
    <mergeCell ref="D25:D31"/>
    <mergeCell ref="D21:D23"/>
    <mergeCell ref="D18:D20"/>
    <mergeCell ref="E21:E23"/>
    <mergeCell ref="E18:E20"/>
    <mergeCell ref="E15:E17"/>
    <mergeCell ref="E12:E14"/>
    <mergeCell ref="E9:E11"/>
  </mergeCells>
  <conditionalFormatting sqref="H25:H38 M25:M38">
    <cfRule type="cellIs" dxfId="27" priority="1" operator="notEqual">
      <formula>0</formula>
    </cfRule>
  </conditionalFormatting>
  <pageMargins left="0.7" right="0.7" top="0.75" bottom="0.75" header="0.3" footer="0.3"/>
  <pageSetup scale="53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49"/>
  <sheetViews>
    <sheetView zoomScale="40" zoomScaleNormal="40" workbookViewId="0">
      <selection activeCell="AJ28" sqref="AJ28"/>
    </sheetView>
  </sheetViews>
  <sheetFormatPr defaultRowHeight="15" x14ac:dyDescent="0.25"/>
  <cols>
    <col min="1" max="1" width="10.5703125" customWidth="1"/>
    <col min="2" max="2" width="13" customWidth="1"/>
    <col min="4" max="4" width="8.140625" customWidth="1"/>
    <col min="5" max="5" width="11" customWidth="1"/>
    <col min="6" max="6" width="10" customWidth="1"/>
    <col min="7" max="7" width="10.28515625" customWidth="1"/>
    <col min="8" max="10" width="9.28515625" customWidth="1"/>
    <col min="11" max="11" width="9.85546875" customWidth="1"/>
    <col min="12" max="12" width="9.5703125" customWidth="1"/>
    <col min="13" max="13" width="9.28515625" customWidth="1"/>
    <col min="14" max="14" width="9.28515625" bestFit="1" customWidth="1"/>
    <col min="15" max="15" width="13.42578125" bestFit="1" customWidth="1"/>
    <col min="16" max="16" width="9.28515625" bestFit="1" customWidth="1"/>
    <col min="17" max="17" width="9.42578125" customWidth="1"/>
    <col min="18" max="18" width="13.7109375" bestFit="1" customWidth="1"/>
    <col min="19" max="19" width="12.7109375" bestFit="1" customWidth="1"/>
    <col min="20" max="20" width="10.28515625" bestFit="1" customWidth="1"/>
    <col min="21" max="21" width="12" bestFit="1" customWidth="1"/>
    <col min="22" max="22" width="12.85546875" customWidth="1"/>
    <col min="23" max="23" width="12.85546875" bestFit="1" customWidth="1"/>
    <col min="24" max="24" width="10.28515625" bestFit="1" customWidth="1"/>
    <col min="25" max="25" width="13.5703125" bestFit="1" customWidth="1"/>
    <col min="26" max="26" width="9.28515625" bestFit="1" customWidth="1"/>
    <col min="27" max="27" width="14.28515625" bestFit="1" customWidth="1"/>
    <col min="28" max="28" width="8.85546875" bestFit="1" customWidth="1"/>
    <col min="29" max="29" width="12.140625" bestFit="1" customWidth="1"/>
  </cols>
  <sheetData>
    <row r="1" spans="1:43" ht="15.75" thickBot="1" x14ac:dyDescent="0.3">
      <c r="A1" s="2" t="s">
        <v>7</v>
      </c>
      <c r="B1" s="2" t="s">
        <v>8</v>
      </c>
      <c r="D1" s="225"/>
      <c r="E1" s="226"/>
      <c r="F1" s="226"/>
      <c r="G1" s="230"/>
      <c r="H1" s="226"/>
      <c r="I1" s="226"/>
      <c r="J1" s="226"/>
      <c r="K1" s="226"/>
      <c r="L1" s="226"/>
      <c r="M1" s="230"/>
      <c r="N1" s="230"/>
      <c r="O1" s="226"/>
      <c r="P1" s="230"/>
      <c r="Q1" s="226"/>
      <c r="R1" s="13"/>
      <c r="S1" s="13"/>
      <c r="T1" s="75" t="s">
        <v>51</v>
      </c>
      <c r="U1" s="75" t="s">
        <v>52</v>
      </c>
      <c r="V1" s="80" t="s">
        <v>53</v>
      </c>
      <c r="W1" s="13"/>
      <c r="X1" s="13"/>
      <c r="Y1" s="75" t="s">
        <v>51</v>
      </c>
      <c r="Z1" s="75" t="s">
        <v>52</v>
      </c>
      <c r="AA1" s="80" t="s">
        <v>53</v>
      </c>
      <c r="AB1" s="226"/>
      <c r="AC1" s="226"/>
      <c r="AD1" s="226"/>
    </row>
    <row r="2" spans="1:43" x14ac:dyDescent="0.25">
      <c r="A2" s="2" t="s">
        <v>9</v>
      </c>
      <c r="B2" s="8">
        <v>9.9999999999999995E-7</v>
      </c>
      <c r="D2" s="231"/>
      <c r="E2" s="231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245" t="s">
        <v>2</v>
      </c>
      <c r="S2" s="14" t="s">
        <v>62</v>
      </c>
      <c r="T2" s="15">
        <v>0.30599999999999999</v>
      </c>
      <c r="U2" s="15">
        <v>0.308</v>
      </c>
      <c r="V2" s="16">
        <f>(T2-U2)/((1/2)*(T2+U2))</f>
        <v>-6.5146579804560316E-3</v>
      </c>
      <c r="W2" s="245" t="s">
        <v>4</v>
      </c>
      <c r="X2" s="14" t="s">
        <v>62</v>
      </c>
      <c r="Y2" s="15">
        <v>628</v>
      </c>
      <c r="Z2" s="15">
        <v>629</v>
      </c>
      <c r="AA2" s="16">
        <f>(Y2-Z2)/((1/2)*(Y2+Z2))</f>
        <v>-1.5910898965791568E-3</v>
      </c>
      <c r="AB2" s="34"/>
      <c r="AC2" s="34"/>
      <c r="AD2" s="34"/>
    </row>
    <row r="3" spans="1:43" x14ac:dyDescent="0.25">
      <c r="A3" s="9" t="s">
        <v>72</v>
      </c>
      <c r="B3" s="4">
        <f>(($B$4)*($B$5)*(B6))+(($B$7)*($B$8)*(B9))</f>
        <v>31388</v>
      </c>
      <c r="D3" s="231"/>
      <c r="E3" s="231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46"/>
      <c r="S3" s="27" t="s">
        <v>57</v>
      </c>
      <c r="T3" s="59"/>
      <c r="U3" s="59"/>
      <c r="V3" s="60"/>
      <c r="W3" s="246"/>
      <c r="X3" s="27" t="s">
        <v>57</v>
      </c>
      <c r="Y3" s="28">
        <v>9.1199999999999992</v>
      </c>
      <c r="Z3" s="28">
        <v>9.11</v>
      </c>
      <c r="AA3" s="29">
        <f>(Y3-Z3)/((1/2)*(Y3+Z3))</f>
        <v>1.097092704333493E-3</v>
      </c>
      <c r="AB3" s="34"/>
      <c r="AC3" s="34"/>
      <c r="AD3" s="34"/>
    </row>
    <row r="4" spans="1:43" x14ac:dyDescent="0.25">
      <c r="A4" s="2" t="s">
        <v>13</v>
      </c>
      <c r="B4" s="4">
        <v>350</v>
      </c>
      <c r="D4" s="231"/>
      <c r="E4" s="231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246"/>
      <c r="S4" s="27" t="s">
        <v>58</v>
      </c>
      <c r="T4" s="28">
        <v>6930000</v>
      </c>
      <c r="U4" s="28">
        <v>6930000</v>
      </c>
      <c r="V4" s="29">
        <f t="shared" ref="V4:V20" si="0">(T4-U4)/((1/2)*(T4+U4))</f>
        <v>0</v>
      </c>
      <c r="W4" s="246"/>
      <c r="X4" s="27" t="s">
        <v>58</v>
      </c>
      <c r="Y4" s="59"/>
      <c r="Z4" s="59"/>
      <c r="AA4" s="60"/>
      <c r="AB4" s="34"/>
      <c r="AC4" s="34"/>
      <c r="AD4" s="225"/>
    </row>
    <row r="5" spans="1:43" x14ac:dyDescent="0.25">
      <c r="A5" s="2" t="s">
        <v>14</v>
      </c>
      <c r="B5" s="4">
        <v>6</v>
      </c>
      <c r="D5" s="231"/>
      <c r="E5" s="231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246"/>
      <c r="S5" s="27" t="s">
        <v>63</v>
      </c>
      <c r="T5" s="28">
        <v>4.3900000000000003E-6</v>
      </c>
      <c r="U5" s="28">
        <v>4.3900000000000003E-6</v>
      </c>
      <c r="V5" s="29">
        <f t="shared" si="0"/>
        <v>0</v>
      </c>
      <c r="W5" s="246"/>
      <c r="X5" s="27" t="s">
        <v>63</v>
      </c>
      <c r="Y5" s="28">
        <v>1.54E-4</v>
      </c>
      <c r="Z5" s="28">
        <v>1.54E-4</v>
      </c>
      <c r="AA5" s="29">
        <f t="shared" ref="AA5:AA11" si="1">(Y5-Z5)/((1/2)*(Y5+Z5))</f>
        <v>0</v>
      </c>
      <c r="AB5" s="34"/>
      <c r="AC5" s="34"/>
      <c r="AD5" s="225"/>
    </row>
    <row r="6" spans="1:43" x14ac:dyDescent="0.25">
      <c r="A6" s="2" t="s">
        <v>73</v>
      </c>
      <c r="B6" s="4">
        <v>0.78</v>
      </c>
      <c r="D6" s="231"/>
      <c r="E6" s="231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246"/>
      <c r="S6" s="27" t="s">
        <v>64</v>
      </c>
      <c r="T6" s="28">
        <v>3.1399999999999998E-5</v>
      </c>
      <c r="U6" s="28">
        <v>3.1399999999999998E-5</v>
      </c>
      <c r="V6" s="29">
        <f t="shared" si="0"/>
        <v>0</v>
      </c>
      <c r="W6" s="246"/>
      <c r="X6" s="27" t="s">
        <v>64</v>
      </c>
      <c r="Y6" s="28">
        <v>1.8100000000000001E-4</v>
      </c>
      <c r="Z6" s="28">
        <v>1.8100000000000001E-4</v>
      </c>
      <c r="AA6" s="29">
        <f t="shared" si="1"/>
        <v>0</v>
      </c>
      <c r="AB6" s="34"/>
      <c r="AC6" s="34"/>
      <c r="AD6" s="34"/>
    </row>
    <row r="7" spans="1:43" x14ac:dyDescent="0.25">
      <c r="A7" s="2" t="s">
        <v>16</v>
      </c>
      <c r="B7" s="4">
        <v>350</v>
      </c>
      <c r="R7" s="246"/>
      <c r="S7" s="27" t="s">
        <v>65</v>
      </c>
      <c r="T7" s="28">
        <v>4.9500000000000002E-2</v>
      </c>
      <c r="U7" s="28">
        <v>4.9500000000000002E-2</v>
      </c>
      <c r="V7" s="29">
        <f t="shared" si="0"/>
        <v>0</v>
      </c>
      <c r="W7" s="246"/>
      <c r="X7" s="27" t="s">
        <v>65</v>
      </c>
      <c r="Y7" s="28">
        <v>4.9299999999999997E-2</v>
      </c>
      <c r="Z7" s="28">
        <v>4.9500000000000002E-2</v>
      </c>
      <c r="AA7" s="29">
        <f t="shared" si="1"/>
        <v>-4.0485829959515333E-3</v>
      </c>
    </row>
    <row r="8" spans="1:43" ht="15.75" thickBot="1" x14ac:dyDescent="0.3">
      <c r="A8" s="2" t="s">
        <v>17</v>
      </c>
      <c r="B8" s="4">
        <v>34</v>
      </c>
      <c r="R8" s="246"/>
      <c r="S8" s="27" t="s">
        <v>66</v>
      </c>
      <c r="T8" s="28">
        <v>6.6699999999999995E-4</v>
      </c>
      <c r="U8" s="28">
        <v>6.69E-4</v>
      </c>
      <c r="V8" s="29">
        <f t="shared" si="0"/>
        <v>-2.9940119760479772E-3</v>
      </c>
      <c r="W8" s="246"/>
      <c r="X8" s="27" t="s">
        <v>66</v>
      </c>
      <c r="Y8" s="28">
        <v>86.1</v>
      </c>
      <c r="Z8" s="28">
        <v>86.2</v>
      </c>
      <c r="AA8" s="29">
        <f t="shared" si="1"/>
        <v>-1.1607661056298145E-3</v>
      </c>
    </row>
    <row r="9" spans="1:43" ht="26.25" thickBot="1" x14ac:dyDescent="0.3">
      <c r="A9" s="2" t="s">
        <v>74</v>
      </c>
      <c r="B9" s="4">
        <v>2.5</v>
      </c>
      <c r="D9" s="13"/>
      <c r="E9" s="74" t="s">
        <v>56</v>
      </c>
      <c r="F9" s="74" t="s">
        <v>57</v>
      </c>
      <c r="G9" s="74" t="s">
        <v>58</v>
      </c>
      <c r="H9" s="74" t="s">
        <v>59</v>
      </c>
      <c r="I9" s="74" t="s">
        <v>46</v>
      </c>
      <c r="J9" s="74" t="s">
        <v>45</v>
      </c>
      <c r="K9" s="74" t="s">
        <v>50</v>
      </c>
      <c r="L9" s="74" t="s">
        <v>47</v>
      </c>
      <c r="M9" s="74" t="s">
        <v>48</v>
      </c>
      <c r="N9" s="78" t="s">
        <v>49</v>
      </c>
      <c r="O9" s="79" t="s">
        <v>60</v>
      </c>
      <c r="P9" s="79" t="s">
        <v>61</v>
      </c>
      <c r="R9" s="246"/>
      <c r="S9" s="27" t="s">
        <v>67</v>
      </c>
      <c r="T9" s="28">
        <v>9.08</v>
      </c>
      <c r="U9" s="28">
        <v>9.08</v>
      </c>
      <c r="V9" s="29">
        <f t="shared" si="0"/>
        <v>0</v>
      </c>
      <c r="W9" s="246"/>
      <c r="X9" s="27" t="s">
        <v>67</v>
      </c>
      <c r="Y9" s="28">
        <v>4.66</v>
      </c>
      <c r="Z9" s="28">
        <v>4.67</v>
      </c>
      <c r="AA9" s="29">
        <f t="shared" si="1"/>
        <v>-2.1436227224008119E-3</v>
      </c>
    </row>
    <row r="10" spans="1:43" x14ac:dyDescent="0.25">
      <c r="A10" s="9" t="s">
        <v>75</v>
      </c>
      <c r="B10" s="4">
        <f>(($B$4)*($B$5)*(B11)*(1/24)*(B12))+(($B$7)*($B$8)*(B13)*(1/24)*(B14))</f>
        <v>259000</v>
      </c>
      <c r="D10" s="251" t="s">
        <v>2</v>
      </c>
      <c r="E10" s="15">
        <f>$B$2</f>
        <v>9.9999999999999995E-7</v>
      </c>
      <c r="F10" s="55"/>
      <c r="G10" s="15">
        <f>$B$2</f>
        <v>9.9999999999999995E-7</v>
      </c>
      <c r="H10" s="15" t="str">
        <f>R2</f>
        <v>Am-241</v>
      </c>
      <c r="I10" s="15" t="str">
        <f>S2</f>
        <v>Ingestion</v>
      </c>
      <c r="J10" s="15">
        <f>U2</f>
        <v>0.308</v>
      </c>
      <c r="K10" s="15" t="str">
        <f>W2</f>
        <v>H-3</v>
      </c>
      <c r="L10" s="15">
        <f>Y2</f>
        <v>628</v>
      </c>
      <c r="M10" s="15">
        <f>AA2</f>
        <v>-1.5910898965791568E-3</v>
      </c>
      <c r="N10" s="23">
        <f>AC2</f>
        <v>0</v>
      </c>
      <c r="O10" s="24">
        <f>1</f>
        <v>1</v>
      </c>
      <c r="P10" s="24">
        <f>1</f>
        <v>1</v>
      </c>
      <c r="R10" s="246"/>
      <c r="S10" s="27" t="s">
        <v>68</v>
      </c>
      <c r="T10" s="28">
        <v>3.64</v>
      </c>
      <c r="U10" s="28">
        <v>3.64</v>
      </c>
      <c r="V10" s="29">
        <f t="shared" si="0"/>
        <v>0</v>
      </c>
      <c r="W10" s="246"/>
      <c r="X10" s="27" t="s">
        <v>68</v>
      </c>
      <c r="Y10" s="28">
        <v>3.65</v>
      </c>
      <c r="Z10" s="28">
        <v>3.64</v>
      </c>
      <c r="AA10" s="29">
        <f t="shared" si="1"/>
        <v>2.7434842249656481E-3</v>
      </c>
    </row>
    <row r="11" spans="1:43" x14ac:dyDescent="0.25">
      <c r="A11" s="2" t="s">
        <v>79</v>
      </c>
      <c r="B11" s="4">
        <v>24</v>
      </c>
      <c r="D11" s="252"/>
      <c r="E11" s="5">
        <f>(H2)*($B$3)</f>
        <v>0</v>
      </c>
      <c r="F11" s="56"/>
      <c r="G11" s="5">
        <f>(J2)*($B$16)*(1/8760)</f>
        <v>0</v>
      </c>
      <c r="H11" s="5" t="e">
        <f>(1/1000)*(E26+F26+G26)</f>
        <v>#DIV/0!</v>
      </c>
      <c r="I11" s="5">
        <f>(T2)*($B$30)*(1/1000)</f>
        <v>1.2240000000000002E-4</v>
      </c>
      <c r="J11" s="5">
        <f>(V2)*($B$31)*(1/1000)</f>
        <v>-2.6058631921824126E-6</v>
      </c>
      <c r="K11" s="5" t="e">
        <f>(X2)*(1/1000)</f>
        <v>#VALUE!</v>
      </c>
      <c r="L11" s="5">
        <f>(Z2)*($B$32)*(1/1000)</f>
        <v>33.337000000000003</v>
      </c>
      <c r="M11" s="5">
        <f>(AB2)*($B$33)*($B$34)*(1/1000)</f>
        <v>0</v>
      </c>
      <c r="N11" s="25">
        <f>(AD2)*($B$35)*(1/1000)</f>
        <v>0</v>
      </c>
      <c r="O11" s="26" t="e">
        <f>(1/E12)+(1/G12)+(1/H12)</f>
        <v>#DIV/0!</v>
      </c>
      <c r="P11" s="26" t="e">
        <f>(1/E12)+(1/G12)+(1/H12)+(1/I12)+(1/J12)+(1/K12)+(1/L12)+(1/M12)+(1/N12)</f>
        <v>#DIV/0!</v>
      </c>
      <c r="R11" s="246"/>
      <c r="S11" s="27" t="s">
        <v>54</v>
      </c>
      <c r="T11" s="28">
        <v>0.154</v>
      </c>
      <c r="U11" s="28">
        <v>0.153</v>
      </c>
      <c r="V11" s="29">
        <f t="shared" si="0"/>
        <v>6.5146579804560316E-3</v>
      </c>
      <c r="W11" s="246"/>
      <c r="X11" s="27" t="s">
        <v>54</v>
      </c>
      <c r="Y11" s="28">
        <v>42.7</v>
      </c>
      <c r="Z11" s="28">
        <v>42.2</v>
      </c>
      <c r="AA11" s="29">
        <f t="shared" si="1"/>
        <v>1.1778563015312131E-2</v>
      </c>
    </row>
    <row r="12" spans="1:43" ht="15.75" thickBot="1" x14ac:dyDescent="0.3">
      <c r="A12" s="2" t="s">
        <v>77</v>
      </c>
      <c r="B12" s="4">
        <v>10</v>
      </c>
      <c r="D12" s="253"/>
      <c r="E12" s="46" t="e">
        <f>E10/E11</f>
        <v>#DIV/0!</v>
      </c>
      <c r="F12" s="57"/>
      <c r="G12" s="46" t="e">
        <f>G10/G11</f>
        <v>#DIV/0!</v>
      </c>
      <c r="H12" s="46" t="e">
        <f>H10/H11</f>
        <v>#VALUE!</v>
      </c>
      <c r="I12" s="46" t="e">
        <f t="shared" ref="I12:N12" si="2">I10/I11</f>
        <v>#VALUE!</v>
      </c>
      <c r="J12" s="46">
        <f t="shared" si="2"/>
        <v>-118194.9999999999</v>
      </c>
      <c r="K12" s="46" t="e">
        <f t="shared" si="2"/>
        <v>#VALUE!</v>
      </c>
      <c r="L12" s="46">
        <f t="shared" si="2"/>
        <v>18.837927827938923</v>
      </c>
      <c r="M12" s="46" t="e">
        <f t="shared" si="2"/>
        <v>#DIV/0!</v>
      </c>
      <c r="N12" s="47" t="e">
        <f t="shared" si="2"/>
        <v>#DIV/0!</v>
      </c>
      <c r="O12" s="48" t="e">
        <f>O10/O11</f>
        <v>#DIV/0!</v>
      </c>
      <c r="P12" s="48" t="e">
        <f>P10/P11</f>
        <v>#DIV/0!</v>
      </c>
      <c r="R12" s="246"/>
      <c r="S12" s="2" t="s">
        <v>45</v>
      </c>
      <c r="T12" s="5">
        <v>2360</v>
      </c>
      <c r="U12" s="5">
        <v>2370</v>
      </c>
      <c r="V12" s="18">
        <f t="shared" si="0"/>
        <v>-4.2283298097251587E-3</v>
      </c>
      <c r="W12" s="246"/>
      <c r="X12" s="2" t="s">
        <v>45</v>
      </c>
      <c r="Y12" s="56"/>
      <c r="Z12" s="56"/>
      <c r="AA12" s="61"/>
    </row>
    <row r="13" spans="1:43" x14ac:dyDescent="0.25">
      <c r="A13" s="2" t="s">
        <v>80</v>
      </c>
      <c r="B13" s="4">
        <v>24</v>
      </c>
      <c r="D13" s="251" t="s">
        <v>3</v>
      </c>
      <c r="E13" s="15">
        <f>$B$2</f>
        <v>9.9999999999999995E-7</v>
      </c>
      <c r="F13" s="55"/>
      <c r="G13" s="15">
        <f>$B$2</f>
        <v>9.9999999999999995E-7</v>
      </c>
      <c r="H13" s="15">
        <f>R3</f>
        <v>0</v>
      </c>
      <c r="I13" s="15" t="str">
        <f>S3</f>
        <v>Inhalation</v>
      </c>
      <c r="J13" s="15">
        <f>U3</f>
        <v>0</v>
      </c>
      <c r="K13" s="15">
        <f>W3</f>
        <v>0</v>
      </c>
      <c r="L13" s="15">
        <f>Y3</f>
        <v>9.1199999999999992</v>
      </c>
      <c r="M13" s="15">
        <f>AA3</f>
        <v>1.097092704333493E-3</v>
      </c>
      <c r="N13" s="23">
        <f>AC3</f>
        <v>0</v>
      </c>
      <c r="O13" s="24">
        <f>1</f>
        <v>1</v>
      </c>
      <c r="P13" s="24">
        <f>1</f>
        <v>1</v>
      </c>
      <c r="R13" s="246"/>
      <c r="S13" s="2" t="s">
        <v>46</v>
      </c>
      <c r="T13" s="5">
        <v>9460</v>
      </c>
      <c r="U13" s="5">
        <v>9490</v>
      </c>
      <c r="V13" s="18">
        <f t="shared" si="0"/>
        <v>-3.1662269129287598E-3</v>
      </c>
      <c r="W13" s="246"/>
      <c r="X13" s="2" t="s">
        <v>46</v>
      </c>
      <c r="Y13" s="56"/>
      <c r="Z13" s="56"/>
      <c r="AA13" s="61"/>
      <c r="AH13" s="225"/>
      <c r="AI13" s="225"/>
      <c r="AJ13" s="226"/>
      <c r="AK13" s="226"/>
      <c r="AL13" s="227"/>
      <c r="AM13" s="225"/>
      <c r="AN13" s="225"/>
      <c r="AO13" s="226"/>
      <c r="AP13" s="226"/>
      <c r="AQ13" s="227"/>
    </row>
    <row r="14" spans="1:43" x14ac:dyDescent="0.25">
      <c r="A14" s="2" t="s">
        <v>78</v>
      </c>
      <c r="B14" s="4">
        <v>20</v>
      </c>
      <c r="D14" s="252"/>
      <c r="E14" s="5">
        <f>(H3)*($B$3)</f>
        <v>0</v>
      </c>
      <c r="F14" s="56"/>
      <c r="G14" s="5">
        <f>(J3)*($B$16)*(1/8760)</f>
        <v>0</v>
      </c>
      <c r="H14" s="5" t="e">
        <f>(1/1000)*(E29+F29+G29)</f>
        <v>#DIV/0!</v>
      </c>
      <c r="I14" s="5">
        <f>(T3)*($B$30)*(1/1000)</f>
        <v>0</v>
      </c>
      <c r="J14" s="5">
        <f>(V3)*($B$31)*(1/1000)</f>
        <v>0</v>
      </c>
      <c r="K14" s="5" t="e">
        <f>(X3)*(1/1000)</f>
        <v>#VALUE!</v>
      </c>
      <c r="L14" s="5">
        <f>(Z3)*($B$32)*(1/1000)</f>
        <v>0.48282999999999998</v>
      </c>
      <c r="M14" s="5">
        <f>(AB3)*($B$33)*($B$34)*(1/1000)</f>
        <v>0</v>
      </c>
      <c r="N14" s="25">
        <f>(AD3)*($B$35)*(1/1000)</f>
        <v>0</v>
      </c>
      <c r="O14" s="26" t="e">
        <f>(1/E15)+(1/G15)+(1/H15)</f>
        <v>#DIV/0!</v>
      </c>
      <c r="P14" s="26" t="e">
        <f>(1/E15)+(1/G15)+(1/H15)+(1/I15)+(1/J15)+(1/K15)+(1/L15)+(1/M15)+(1/N15)</f>
        <v>#DIV/0!</v>
      </c>
      <c r="R14" s="246"/>
      <c r="S14" s="12" t="s">
        <v>47</v>
      </c>
      <c r="T14" s="30">
        <v>127</v>
      </c>
      <c r="U14" s="30">
        <v>127</v>
      </c>
      <c r="V14" s="31">
        <f t="shared" si="0"/>
        <v>0</v>
      </c>
      <c r="W14" s="246"/>
      <c r="X14" s="12" t="s">
        <v>47</v>
      </c>
      <c r="Y14" s="30">
        <v>10900</v>
      </c>
      <c r="Z14" s="30">
        <v>10900</v>
      </c>
      <c r="AA14" s="31">
        <f t="shared" ref="AA14:AA15" si="3">(Y14-Z14)/((1/2)*(Y14+Z14))</f>
        <v>0</v>
      </c>
      <c r="AH14" s="229"/>
      <c r="AI14" s="226"/>
      <c r="AJ14" s="34"/>
      <c r="AK14" s="34"/>
      <c r="AL14" s="228"/>
      <c r="AM14" s="229"/>
      <c r="AN14" s="226"/>
      <c r="AO14" s="34"/>
      <c r="AP14" s="34"/>
      <c r="AQ14" s="228"/>
    </row>
    <row r="15" spans="1:43" ht="15.75" thickBot="1" x14ac:dyDescent="0.3">
      <c r="A15" s="2" t="s">
        <v>76</v>
      </c>
      <c r="B15" s="4">
        <v>0.5</v>
      </c>
      <c r="D15" s="252"/>
      <c r="E15" s="49" t="e">
        <f>E13/E14</f>
        <v>#DIV/0!</v>
      </c>
      <c r="F15" s="58"/>
      <c r="G15" s="49" t="e">
        <f>G13/G14</f>
        <v>#DIV/0!</v>
      </c>
      <c r="H15" s="49" t="e">
        <f>H13/H14</f>
        <v>#DIV/0!</v>
      </c>
      <c r="I15" s="49" t="e">
        <f t="shared" ref="I15:N15" si="4">I13/I14</f>
        <v>#VALUE!</v>
      </c>
      <c r="J15" s="49" t="e">
        <f t="shared" si="4"/>
        <v>#DIV/0!</v>
      </c>
      <c r="K15" s="49" t="e">
        <f t="shared" si="4"/>
        <v>#VALUE!</v>
      </c>
      <c r="L15" s="49">
        <f t="shared" si="4"/>
        <v>18.888635751713853</v>
      </c>
      <c r="M15" s="49" t="e">
        <f t="shared" si="4"/>
        <v>#DIV/0!</v>
      </c>
      <c r="N15" s="50" t="e">
        <f t="shared" si="4"/>
        <v>#DIV/0!</v>
      </c>
      <c r="O15" s="51" t="e">
        <f>O13/O14</f>
        <v>#DIV/0!</v>
      </c>
      <c r="P15" s="51" t="e">
        <f>P13/P14</f>
        <v>#DIV/0!</v>
      </c>
      <c r="R15" s="246"/>
      <c r="S15" s="2" t="s">
        <v>48</v>
      </c>
      <c r="T15" s="5">
        <v>33000</v>
      </c>
      <c r="U15" s="5">
        <v>33100</v>
      </c>
      <c r="V15" s="32">
        <f t="shared" si="0"/>
        <v>-3.0257186081694403E-3</v>
      </c>
      <c r="W15" s="248"/>
      <c r="X15" s="2" t="s">
        <v>48</v>
      </c>
      <c r="Y15" s="5">
        <v>2850</v>
      </c>
      <c r="Z15" s="5">
        <v>2850</v>
      </c>
      <c r="AA15" s="32">
        <f t="shared" si="3"/>
        <v>0</v>
      </c>
      <c r="AH15" s="229"/>
      <c r="AI15" s="226"/>
      <c r="AJ15" s="34"/>
      <c r="AK15" s="34"/>
      <c r="AL15" s="228"/>
      <c r="AM15" s="229"/>
      <c r="AN15" s="226"/>
      <c r="AO15" s="34"/>
      <c r="AP15" s="34"/>
      <c r="AQ15" s="228"/>
    </row>
    <row r="16" spans="1:43" x14ac:dyDescent="0.25">
      <c r="A16" s="9" t="s">
        <v>81</v>
      </c>
      <c r="B16" s="4">
        <f>(($B$4)*($B$5)*(B17)*(B18))+(($B$7)*($B$8)*(B19)*(B20))</f>
        <v>9583</v>
      </c>
      <c r="D16" s="251" t="s">
        <v>4</v>
      </c>
      <c r="E16" s="15">
        <f>$B$2</f>
        <v>9.9999999999999995E-7</v>
      </c>
      <c r="F16" s="15">
        <f>$B$2</f>
        <v>9.9999999999999995E-7</v>
      </c>
      <c r="G16" s="55"/>
      <c r="H16" s="15">
        <f>R4</f>
        <v>0</v>
      </c>
      <c r="I16" s="55"/>
      <c r="J16" s="55"/>
      <c r="K16" s="15">
        <f>W4</f>
        <v>0</v>
      </c>
      <c r="L16" s="15">
        <f>Y4</f>
        <v>0</v>
      </c>
      <c r="M16" s="15">
        <f>AA4</f>
        <v>0</v>
      </c>
      <c r="N16" s="52"/>
      <c r="O16" s="24">
        <f>1</f>
        <v>1</v>
      </c>
      <c r="P16" s="24">
        <f>1</f>
        <v>1</v>
      </c>
      <c r="R16" s="246"/>
      <c r="S16" s="27" t="s">
        <v>49</v>
      </c>
      <c r="T16" s="28">
        <v>3200</v>
      </c>
      <c r="U16" s="28">
        <v>3210</v>
      </c>
      <c r="V16" s="29">
        <f t="shared" si="0"/>
        <v>-3.1201248049921998E-3</v>
      </c>
      <c r="W16" s="246"/>
      <c r="X16" s="27" t="s">
        <v>49</v>
      </c>
      <c r="Y16" s="59"/>
      <c r="Z16" s="59"/>
      <c r="AA16" s="60"/>
      <c r="AH16" s="229"/>
      <c r="AI16" s="226"/>
      <c r="AJ16" s="34"/>
      <c r="AK16" s="34"/>
      <c r="AL16" s="228"/>
      <c r="AM16" s="229"/>
      <c r="AN16" s="226"/>
      <c r="AO16" s="34"/>
      <c r="AP16" s="34"/>
      <c r="AQ16" s="228"/>
    </row>
    <row r="17" spans="1:43" x14ac:dyDescent="0.25">
      <c r="A17" s="2" t="s">
        <v>82</v>
      </c>
      <c r="B17" s="4">
        <v>1</v>
      </c>
      <c r="D17" s="252"/>
      <c r="E17" s="5">
        <f>(H4)*($B$3)</f>
        <v>0</v>
      </c>
      <c r="F17" s="5">
        <f>(I5)*($B$10)*($B$15)</f>
        <v>0</v>
      </c>
      <c r="G17" s="56"/>
      <c r="H17" s="5" t="e">
        <f>(1/1000)*(E32+F32+G32)</f>
        <v>#DIV/0!</v>
      </c>
      <c r="I17" s="56"/>
      <c r="J17" s="56"/>
      <c r="K17" s="5" t="e">
        <f>(X4)*(1/1000)</f>
        <v>#VALUE!</v>
      </c>
      <c r="L17" s="5">
        <f>(Z4)*($B$32)*(1/1000)</f>
        <v>0</v>
      </c>
      <c r="M17" s="5">
        <f>(AB4)*($B$33)*($B$34)*(1/1000)</f>
        <v>0</v>
      </c>
      <c r="N17" s="53"/>
      <c r="O17" s="26" t="e">
        <f>(1/E18)+(1/F18)+(1/H18)</f>
        <v>#DIV/0!</v>
      </c>
      <c r="P17" s="26" t="e">
        <f>(1/E18)+(1/F18)+(1/H18)+(1/K18)+(1/L18)+(1/M18)</f>
        <v>#DIV/0!</v>
      </c>
      <c r="R17" s="246"/>
      <c r="S17" s="12" t="s">
        <v>50</v>
      </c>
      <c r="T17" s="30">
        <v>1.61E-2</v>
      </c>
      <c r="U17" s="30">
        <v>1.61E-2</v>
      </c>
      <c r="V17" s="31">
        <f t="shared" si="0"/>
        <v>0</v>
      </c>
      <c r="W17" s="246"/>
      <c r="X17" s="12" t="s">
        <v>50</v>
      </c>
      <c r="Y17" s="30">
        <v>7950</v>
      </c>
      <c r="Z17" s="30">
        <v>7950</v>
      </c>
      <c r="AA17" s="31">
        <f>(Y17-Z17)/((1/2)*(Y17+Z17))</f>
        <v>0</v>
      </c>
      <c r="AH17" s="229"/>
      <c r="AI17" s="226"/>
      <c r="AJ17" s="34"/>
      <c r="AK17" s="34"/>
      <c r="AL17" s="228"/>
      <c r="AM17" s="229"/>
      <c r="AN17" s="226"/>
      <c r="AO17" s="34"/>
      <c r="AP17" s="34"/>
      <c r="AQ17" s="228"/>
    </row>
    <row r="18" spans="1:43" ht="15.75" thickBot="1" x14ac:dyDescent="0.3">
      <c r="A18" s="2" t="s">
        <v>83</v>
      </c>
      <c r="B18" s="4">
        <v>0.54</v>
      </c>
      <c r="D18" s="253"/>
      <c r="E18" s="46" t="e">
        <f>E16/E17</f>
        <v>#DIV/0!</v>
      </c>
      <c r="F18" s="46" t="e">
        <f>F16/F17</f>
        <v>#DIV/0!</v>
      </c>
      <c r="G18" s="57"/>
      <c r="H18" s="46" t="e">
        <f>H16/H17</f>
        <v>#DIV/0!</v>
      </c>
      <c r="I18" s="57"/>
      <c r="J18" s="57"/>
      <c r="K18" s="46" t="e">
        <f t="shared" ref="K18:M18" si="5">K16/K17</f>
        <v>#VALUE!</v>
      </c>
      <c r="L18" s="46" t="e">
        <f t="shared" si="5"/>
        <v>#DIV/0!</v>
      </c>
      <c r="M18" s="46" t="e">
        <f t="shared" si="5"/>
        <v>#DIV/0!</v>
      </c>
      <c r="N18" s="54"/>
      <c r="O18" s="48" t="e">
        <f>O16/O17</f>
        <v>#DIV/0!</v>
      </c>
      <c r="P18" s="48" t="e">
        <f>P16/P17</f>
        <v>#DIV/0!</v>
      </c>
      <c r="R18" s="246"/>
      <c r="S18" s="12" t="s">
        <v>60</v>
      </c>
      <c r="T18" s="30">
        <v>0.10199999999999999</v>
      </c>
      <c r="U18" s="30">
        <v>0.10199999999999999</v>
      </c>
      <c r="V18" s="31">
        <f t="shared" si="0"/>
        <v>0</v>
      </c>
      <c r="W18" s="246"/>
      <c r="X18" s="12" t="s">
        <v>60</v>
      </c>
      <c r="Y18" s="30">
        <v>7.42</v>
      </c>
      <c r="Z18" s="30">
        <v>7.41</v>
      </c>
      <c r="AA18" s="31">
        <f>(Y18-Z18)/((1/2)*(Y18+Z18))</f>
        <v>1.3486176668914074E-3</v>
      </c>
      <c r="AH18" s="229"/>
      <c r="AI18" s="226"/>
      <c r="AJ18" s="34"/>
      <c r="AK18" s="34"/>
      <c r="AL18" s="228"/>
      <c r="AM18" s="229"/>
      <c r="AN18" s="226"/>
      <c r="AO18" s="34"/>
      <c r="AP18" s="34"/>
      <c r="AQ18" s="228"/>
    </row>
    <row r="19" spans="1:43" ht="15.75" thickBot="1" x14ac:dyDescent="0.3">
      <c r="A19" s="2" t="s">
        <v>84</v>
      </c>
      <c r="B19" s="4">
        <v>1</v>
      </c>
      <c r="D19" s="251" t="s">
        <v>5</v>
      </c>
      <c r="E19" s="15">
        <f>$B$2</f>
        <v>9.9999999999999995E-7</v>
      </c>
      <c r="F19" s="55"/>
      <c r="G19" s="15">
        <f>$B$2</f>
        <v>9.9999999999999995E-7</v>
      </c>
      <c r="H19" s="15">
        <f>R6</f>
        <v>0</v>
      </c>
      <c r="I19" s="15" t="str">
        <f>S6</f>
        <v>Lambda B</v>
      </c>
      <c r="J19" s="15">
        <f>U6</f>
        <v>3.1399999999999998E-5</v>
      </c>
      <c r="K19" s="15">
        <f>W6</f>
        <v>0</v>
      </c>
      <c r="L19" s="15">
        <f>Y6</f>
        <v>1.8100000000000001E-4</v>
      </c>
      <c r="M19" s="15">
        <f>AA6</f>
        <v>0</v>
      </c>
      <c r="N19" s="23">
        <f>AC6</f>
        <v>0</v>
      </c>
      <c r="O19" s="24">
        <f>1</f>
        <v>1</v>
      </c>
      <c r="P19" s="24">
        <f>1</f>
        <v>1</v>
      </c>
      <c r="R19" s="247"/>
      <c r="S19" s="19" t="s">
        <v>61</v>
      </c>
      <c r="T19" s="20">
        <v>1.3899999999999999E-2</v>
      </c>
      <c r="U19" s="20">
        <v>1.3899999999999999E-2</v>
      </c>
      <c r="V19" s="21">
        <f t="shared" si="0"/>
        <v>0</v>
      </c>
      <c r="W19" s="247"/>
      <c r="X19" s="19" t="s">
        <v>61</v>
      </c>
      <c r="Y19" s="20">
        <v>7.39</v>
      </c>
      <c r="Z19" s="20">
        <v>7.38</v>
      </c>
      <c r="AA19" s="21">
        <f>(Y19-Z19)/((1/2)*(Y19+Z19))</f>
        <v>1.3540961408259698E-3</v>
      </c>
      <c r="AH19" s="229"/>
      <c r="AI19" s="226"/>
      <c r="AJ19" s="34"/>
      <c r="AK19" s="34"/>
      <c r="AL19" s="228"/>
      <c r="AM19" s="229"/>
      <c r="AN19" s="226"/>
      <c r="AO19" s="34"/>
      <c r="AP19" s="34"/>
      <c r="AQ19" s="228"/>
    </row>
    <row r="20" spans="1:43" x14ac:dyDescent="0.25">
      <c r="A20" s="2" t="s">
        <v>85</v>
      </c>
      <c r="B20" s="4">
        <v>0.71</v>
      </c>
      <c r="D20" s="252"/>
      <c r="E20" s="5">
        <f>(H6)*($B$3)</f>
        <v>0</v>
      </c>
      <c r="F20" s="56"/>
      <c r="G20" s="5">
        <f>(J6)*($B$16)*(1/8760)</f>
        <v>0</v>
      </c>
      <c r="H20" s="5" t="e">
        <f>(1/1000)*(E35+F35+G35)</f>
        <v>#DIV/0!</v>
      </c>
      <c r="I20" s="5">
        <f>(T6)*($B$30)*(1/1000)</f>
        <v>1.256E-8</v>
      </c>
      <c r="J20" s="5">
        <f>(V6)*($B$31)*(1/1000)</f>
        <v>0</v>
      </c>
      <c r="K20" s="5" t="e">
        <f>(X6)*(1/1000)</f>
        <v>#VALUE!</v>
      </c>
      <c r="L20" s="5">
        <f>(Z6)*($B$32)*(1/1000)</f>
        <v>9.5930000000000012E-6</v>
      </c>
      <c r="M20" s="5">
        <f>(AB6)*($B$33)*($B$34)*(1/1000)</f>
        <v>0</v>
      </c>
      <c r="N20" s="25">
        <f>(AD6)*($B$35)*(1/1000)</f>
        <v>0</v>
      </c>
      <c r="O20" s="26" t="e">
        <f>(1/E21)+(1/G21)+(1/H21)</f>
        <v>#DIV/0!</v>
      </c>
      <c r="P20" s="26" t="e">
        <f>(1/E21)+(1/G21)+(1/H21)+(1/I21)+(1/J21)+(1/K21)+(1/L21)+(1/M21)+(1/N21)</f>
        <v>#DIV/0!</v>
      </c>
      <c r="R20" s="245" t="s">
        <v>3</v>
      </c>
      <c r="S20" s="27" t="s">
        <v>62</v>
      </c>
      <c r="T20" s="28">
        <v>2.02</v>
      </c>
      <c r="U20" s="28">
        <v>2.02</v>
      </c>
      <c r="V20" s="42">
        <f t="shared" si="0"/>
        <v>0</v>
      </c>
      <c r="W20" s="249" t="s">
        <v>5</v>
      </c>
      <c r="X20" s="14" t="s">
        <v>62</v>
      </c>
      <c r="Y20" s="15">
        <v>0.24299999999999999</v>
      </c>
      <c r="Z20" s="15">
        <v>0.24299999999999999</v>
      </c>
      <c r="AA20" s="16">
        <f>(Y20-Z20)/((1/2)*(Y20+Z20))</f>
        <v>0</v>
      </c>
      <c r="AH20" s="229"/>
      <c r="AI20" s="226"/>
      <c r="AJ20" s="34"/>
      <c r="AK20" s="34"/>
      <c r="AL20" s="228"/>
      <c r="AM20" s="229"/>
      <c r="AN20" s="226"/>
      <c r="AO20" s="34"/>
      <c r="AP20" s="34"/>
      <c r="AQ20" s="228"/>
    </row>
    <row r="21" spans="1:43" ht="15.75" thickBot="1" x14ac:dyDescent="0.3">
      <c r="A21" s="2" t="s">
        <v>86</v>
      </c>
      <c r="B21" s="4">
        <v>3.62</v>
      </c>
      <c r="D21" s="253"/>
      <c r="E21" s="46" t="e">
        <f>E19/E20</f>
        <v>#DIV/0!</v>
      </c>
      <c r="F21" s="57"/>
      <c r="G21" s="46" t="e">
        <f>G19/G20</f>
        <v>#DIV/0!</v>
      </c>
      <c r="H21" s="46" t="e">
        <f>H19/H20</f>
        <v>#DIV/0!</v>
      </c>
      <c r="I21" s="46" t="e">
        <f t="shared" ref="I21:N21" si="6">I19/I20</f>
        <v>#VALUE!</v>
      </c>
      <c r="J21" s="46" t="e">
        <f t="shared" si="6"/>
        <v>#DIV/0!</v>
      </c>
      <c r="K21" s="46" t="e">
        <f t="shared" si="6"/>
        <v>#VALUE!</v>
      </c>
      <c r="L21" s="46">
        <f t="shared" si="6"/>
        <v>18.867924528301884</v>
      </c>
      <c r="M21" s="46" t="e">
        <f t="shared" si="6"/>
        <v>#DIV/0!</v>
      </c>
      <c r="N21" s="47" t="e">
        <f t="shared" si="6"/>
        <v>#DIV/0!</v>
      </c>
      <c r="O21" s="48" t="e">
        <f>O19/O20</f>
        <v>#DIV/0!</v>
      </c>
      <c r="P21" s="48" t="e">
        <f>P19/P20</f>
        <v>#DIV/0!</v>
      </c>
      <c r="R21" s="240"/>
      <c r="S21" s="27" t="s">
        <v>57</v>
      </c>
      <c r="T21" s="59"/>
      <c r="U21" s="59"/>
      <c r="V21" s="60"/>
      <c r="W21" s="240"/>
      <c r="X21" s="27" t="s">
        <v>57</v>
      </c>
      <c r="Y21" s="59"/>
      <c r="Z21" s="59"/>
      <c r="AA21" s="60"/>
      <c r="AH21" s="229"/>
      <c r="AI21" s="226"/>
      <c r="AJ21" s="34"/>
      <c r="AK21" s="34"/>
      <c r="AL21" s="228"/>
      <c r="AM21" s="229"/>
      <c r="AN21" s="226"/>
      <c r="AO21" s="34"/>
      <c r="AP21" s="34"/>
      <c r="AQ21" s="228"/>
    </row>
    <row r="22" spans="1:43" x14ac:dyDescent="0.25">
      <c r="A22" s="2" t="s">
        <v>87</v>
      </c>
      <c r="B22" s="4">
        <v>0.25</v>
      </c>
      <c r="R22" s="240"/>
      <c r="S22" s="27" t="s">
        <v>58</v>
      </c>
      <c r="T22" s="28">
        <v>37500</v>
      </c>
      <c r="U22" s="28">
        <v>37500</v>
      </c>
      <c r="V22" s="29">
        <f t="shared" ref="V22:V37" si="7">(T22-U22)/((1/2)*(T22+U22))</f>
        <v>0</v>
      </c>
      <c r="W22" s="240"/>
      <c r="X22" s="27" t="s">
        <v>58</v>
      </c>
      <c r="Y22" s="28">
        <v>1540000000</v>
      </c>
      <c r="Z22" s="28">
        <v>1540000000</v>
      </c>
      <c r="AA22" s="29">
        <f t="shared" ref="AA22:AA34" si="8">(Y22-Z22)/((1/2)*(Y22+Z22))</f>
        <v>0</v>
      </c>
      <c r="AH22" s="229"/>
      <c r="AI22" s="226"/>
      <c r="AJ22" s="34"/>
      <c r="AK22" s="34"/>
      <c r="AL22" s="228"/>
      <c r="AM22" s="229"/>
      <c r="AN22" s="226"/>
      <c r="AO22" s="34"/>
      <c r="AP22" s="34"/>
      <c r="AQ22" s="228"/>
    </row>
    <row r="23" spans="1:43" ht="15.75" thickBot="1" x14ac:dyDescent="0.3">
      <c r="A23" s="2" t="s">
        <v>88</v>
      </c>
      <c r="B23" s="4">
        <v>10950</v>
      </c>
      <c r="D23" s="13"/>
      <c r="E23" s="11" t="s">
        <v>66</v>
      </c>
      <c r="F23" s="11" t="s">
        <v>67</v>
      </c>
      <c r="G23" s="64" t="s">
        <v>68</v>
      </c>
      <c r="H23" s="33"/>
      <c r="R23" s="240"/>
      <c r="S23" s="27" t="s">
        <v>63</v>
      </c>
      <c r="T23" s="28">
        <v>3.6000000000000002E-4</v>
      </c>
      <c r="U23" s="28">
        <v>3.6000000000000002E-4</v>
      </c>
      <c r="V23" s="29">
        <f t="shared" si="7"/>
        <v>0</v>
      </c>
      <c r="W23" s="240"/>
      <c r="X23" s="27" t="s">
        <v>63</v>
      </c>
      <c r="Y23" s="28">
        <v>2.16E-5</v>
      </c>
      <c r="Z23" s="28">
        <v>2.16E-5</v>
      </c>
      <c r="AA23" s="29">
        <f t="shared" si="8"/>
        <v>0</v>
      </c>
      <c r="AH23" s="229"/>
      <c r="AI23" s="226"/>
      <c r="AJ23" s="34"/>
      <c r="AK23" s="34"/>
      <c r="AL23" s="228"/>
      <c r="AM23" s="229"/>
      <c r="AN23" s="226"/>
      <c r="AO23" s="34"/>
      <c r="AP23" s="34"/>
      <c r="AQ23" s="228"/>
    </row>
    <row r="24" spans="1:43" x14ac:dyDescent="0.25">
      <c r="A24" s="2" t="s">
        <v>89</v>
      </c>
      <c r="B24" s="4">
        <v>240</v>
      </c>
      <c r="D24" s="251" t="s">
        <v>2</v>
      </c>
      <c r="E24" s="15">
        <f>($B$21)*($B$22)*(K2)*(O2)</f>
        <v>0</v>
      </c>
      <c r="F24" s="15">
        <f>($B$21)*($B$22)*($B$25)*(O2)</f>
        <v>0</v>
      </c>
      <c r="G24" s="62">
        <f>($B$21)*($B$22)*($B$26)*($B$27)*(Q2)</f>
        <v>0</v>
      </c>
      <c r="H24" s="34"/>
      <c r="R24" s="240"/>
      <c r="S24" s="27" t="s">
        <v>64</v>
      </c>
      <c r="T24" s="28">
        <v>3.8699999999999997E-4</v>
      </c>
      <c r="U24" s="28">
        <v>3.8699999999999997E-4</v>
      </c>
      <c r="V24" s="29">
        <f t="shared" si="7"/>
        <v>0</v>
      </c>
      <c r="W24" s="240"/>
      <c r="X24" s="27" t="s">
        <v>64</v>
      </c>
      <c r="Y24" s="28">
        <v>4.8600000000000002E-5</v>
      </c>
      <c r="Z24" s="28">
        <v>4.8600000000000002E-5</v>
      </c>
      <c r="AA24" s="29">
        <f t="shared" si="8"/>
        <v>0</v>
      </c>
      <c r="AH24" s="229"/>
      <c r="AI24" s="226"/>
      <c r="AJ24" s="34"/>
      <c r="AK24" s="34"/>
      <c r="AL24" s="228"/>
      <c r="AM24" s="229"/>
      <c r="AN24" s="226"/>
      <c r="AO24" s="34"/>
      <c r="AP24" s="34"/>
      <c r="AQ24" s="228"/>
    </row>
    <row r="25" spans="1:43" x14ac:dyDescent="0.25">
      <c r="A25" s="2" t="s">
        <v>90</v>
      </c>
      <c r="B25" s="4">
        <v>0.26</v>
      </c>
      <c r="D25" s="252"/>
      <c r="E25" s="5">
        <f>($B$24*N2)</f>
        <v>0</v>
      </c>
      <c r="F25" s="5">
        <f>($B$24*(N2))</f>
        <v>0</v>
      </c>
      <c r="G25" s="63">
        <f>($B$29*P2)</f>
        <v>0</v>
      </c>
      <c r="H25" s="34"/>
      <c r="R25" s="240"/>
      <c r="S25" s="27" t="s">
        <v>65</v>
      </c>
      <c r="T25" s="28">
        <v>4.9099999999999998E-2</v>
      </c>
      <c r="U25" s="28">
        <v>4.9500000000000002E-2</v>
      </c>
      <c r="V25" s="29">
        <f t="shared" si="7"/>
        <v>-8.1135902636917754E-3</v>
      </c>
      <c r="W25" s="240"/>
      <c r="X25" s="27" t="s">
        <v>65</v>
      </c>
      <c r="Y25" s="28">
        <v>4.9500000000000002E-2</v>
      </c>
      <c r="Z25" s="28">
        <v>4.9500000000000002E-2</v>
      </c>
      <c r="AA25" s="29">
        <f t="shared" si="8"/>
        <v>0</v>
      </c>
      <c r="AH25" s="229"/>
      <c r="AI25" s="226"/>
      <c r="AJ25" s="34"/>
      <c r="AK25" s="34"/>
      <c r="AL25" s="228"/>
      <c r="AM25" s="229"/>
      <c r="AN25" s="226"/>
      <c r="AO25" s="34"/>
      <c r="AP25" s="34"/>
      <c r="AQ25" s="228"/>
    </row>
    <row r="26" spans="1:43" ht="15.75" thickBot="1" x14ac:dyDescent="0.3">
      <c r="A26" s="2" t="s">
        <v>91</v>
      </c>
      <c r="B26" s="4">
        <v>0.42</v>
      </c>
      <c r="D26" s="253"/>
      <c r="E26" s="65" t="e">
        <f>E24/E25</f>
        <v>#DIV/0!</v>
      </c>
      <c r="F26" s="65" t="e">
        <f>F24/F25</f>
        <v>#DIV/0!</v>
      </c>
      <c r="G26" s="66" t="e">
        <f>G24/G25</f>
        <v>#DIV/0!</v>
      </c>
      <c r="H26" s="34"/>
      <c r="R26" s="240"/>
      <c r="S26" s="27" t="s">
        <v>66</v>
      </c>
      <c r="T26" s="28">
        <v>7.0999999999999994E-2</v>
      </c>
      <c r="U26" s="28">
        <v>7.0999999999999994E-2</v>
      </c>
      <c r="V26" s="29">
        <f t="shared" si="7"/>
        <v>0</v>
      </c>
      <c r="W26" s="240"/>
      <c r="X26" s="27" t="s">
        <v>66</v>
      </c>
      <c r="Y26" s="28">
        <v>2.6499999999999999E-4</v>
      </c>
      <c r="Z26" s="28">
        <v>2.6499999999999999E-4</v>
      </c>
      <c r="AA26" s="29">
        <f t="shared" si="8"/>
        <v>0</v>
      </c>
      <c r="AH26" s="229"/>
      <c r="AI26" s="226"/>
      <c r="AJ26" s="34"/>
      <c r="AK26" s="34"/>
      <c r="AL26" s="228"/>
      <c r="AM26" s="229"/>
      <c r="AN26" s="226"/>
      <c r="AO26" s="34"/>
      <c r="AP26" s="34"/>
      <c r="AQ26" s="228"/>
    </row>
    <row r="27" spans="1:43" x14ac:dyDescent="0.25">
      <c r="A27" s="2" t="s">
        <v>92</v>
      </c>
      <c r="B27" s="4">
        <v>1</v>
      </c>
      <c r="D27" s="251" t="s">
        <v>3</v>
      </c>
      <c r="E27" s="15">
        <f>($B$21)*($B$22)*(K3)*(O3)</f>
        <v>0</v>
      </c>
      <c r="F27" s="15">
        <f>($B$21)*($B$22)*($B$25)*(O3)</f>
        <v>0</v>
      </c>
      <c r="G27" s="62">
        <f>($B$21)*($B$22)*($B$26)*($B$27)*(Q3)</f>
        <v>0</v>
      </c>
      <c r="H27" s="34"/>
      <c r="R27" s="240"/>
      <c r="S27" s="27" t="s">
        <v>67</v>
      </c>
      <c r="T27" s="28">
        <v>2.5</v>
      </c>
      <c r="U27" s="28">
        <v>2.5</v>
      </c>
      <c r="V27" s="29">
        <f t="shared" si="7"/>
        <v>0</v>
      </c>
      <c r="W27" s="240"/>
      <c r="X27" s="27" t="s">
        <v>67</v>
      </c>
      <c r="Y27" s="28">
        <v>8.32</v>
      </c>
      <c r="Z27" s="28">
        <v>8.32</v>
      </c>
      <c r="AA27" s="29">
        <f t="shared" si="8"/>
        <v>0</v>
      </c>
      <c r="AH27" s="229"/>
      <c r="AI27" s="226"/>
      <c r="AJ27" s="34"/>
      <c r="AK27" s="34"/>
      <c r="AL27" s="228"/>
      <c r="AM27" s="229"/>
      <c r="AN27" s="226"/>
      <c r="AO27" s="34"/>
      <c r="AP27" s="34"/>
      <c r="AQ27" s="228"/>
    </row>
    <row r="28" spans="1:43" x14ac:dyDescent="0.25">
      <c r="A28" s="2" t="s">
        <v>93</v>
      </c>
      <c r="B28" s="4">
        <v>60</v>
      </c>
      <c r="D28" s="252"/>
      <c r="E28" s="5">
        <f>($B$24*N3)</f>
        <v>0</v>
      </c>
      <c r="F28" s="5">
        <f>($B$24*(N3))</f>
        <v>0</v>
      </c>
      <c r="G28" s="63">
        <f>($B$29*P3)</f>
        <v>0</v>
      </c>
      <c r="H28" s="34"/>
      <c r="R28" s="240"/>
      <c r="S28" s="27" t="s">
        <v>68</v>
      </c>
      <c r="T28" s="28">
        <v>3.66</v>
      </c>
      <c r="U28" s="28">
        <v>3.64</v>
      </c>
      <c r="V28" s="29">
        <f t="shared" si="7"/>
        <v>5.4794520547945249E-3</v>
      </c>
      <c r="W28" s="240"/>
      <c r="X28" s="27" t="s">
        <v>68</v>
      </c>
      <c r="Y28" s="28">
        <v>3.64</v>
      </c>
      <c r="Z28" s="28">
        <v>3.64</v>
      </c>
      <c r="AA28" s="29">
        <f t="shared" si="8"/>
        <v>0</v>
      </c>
      <c r="AH28" s="229"/>
      <c r="AI28" s="226"/>
      <c r="AJ28" s="34"/>
      <c r="AK28" s="34"/>
      <c r="AL28" s="228"/>
      <c r="AM28" s="229"/>
      <c r="AN28" s="226"/>
      <c r="AO28" s="34"/>
      <c r="AP28" s="34"/>
      <c r="AQ28" s="228"/>
    </row>
    <row r="29" spans="1:43" ht="15.75" thickBot="1" x14ac:dyDescent="0.3">
      <c r="A29" s="2" t="s">
        <v>94</v>
      </c>
      <c r="B29" s="4">
        <v>2</v>
      </c>
      <c r="D29" s="253"/>
      <c r="E29" s="65" t="e">
        <f>E27/E28</f>
        <v>#DIV/0!</v>
      </c>
      <c r="F29" s="65" t="e">
        <f>F27/F28</f>
        <v>#DIV/0!</v>
      </c>
      <c r="G29" s="66" t="e">
        <f>G27/G28</f>
        <v>#DIV/0!</v>
      </c>
      <c r="H29" s="34"/>
      <c r="R29" s="240"/>
      <c r="S29" s="27" t="s">
        <v>54</v>
      </c>
      <c r="T29" s="28">
        <v>1.89</v>
      </c>
      <c r="U29" s="28">
        <v>1.87</v>
      </c>
      <c r="V29" s="29">
        <f t="shared" si="7"/>
        <v>1.0638297872340318E-2</v>
      </c>
      <c r="W29" s="240"/>
      <c r="X29" s="27" t="s">
        <v>54</v>
      </c>
      <c r="Y29" s="28">
        <v>0.13</v>
      </c>
      <c r="Z29" s="28">
        <v>0.128</v>
      </c>
      <c r="AA29" s="29">
        <f t="shared" si="8"/>
        <v>1.5503875968992262E-2</v>
      </c>
      <c r="AH29" s="229"/>
      <c r="AI29" s="226"/>
      <c r="AJ29" s="34"/>
      <c r="AK29" s="34"/>
      <c r="AL29" s="228"/>
      <c r="AM29" s="229"/>
      <c r="AN29" s="226"/>
      <c r="AO29" s="34"/>
      <c r="AP29" s="34"/>
      <c r="AQ29" s="228"/>
    </row>
    <row r="30" spans="1:43" x14ac:dyDescent="0.25">
      <c r="A30" s="2" t="s">
        <v>95</v>
      </c>
      <c r="B30" s="4">
        <v>0.4</v>
      </c>
      <c r="D30" s="251" t="s">
        <v>4</v>
      </c>
      <c r="E30" s="15">
        <f>($B$21)*($B$22)*(K4)*(O4)</f>
        <v>0</v>
      </c>
      <c r="F30" s="15">
        <f>($B$21)*($B$22)*($B$25)*(O4)</f>
        <v>0</v>
      </c>
      <c r="G30" s="62">
        <f>($B$21)*($B$22)*($B$26)*($B$27)*(Q4)</f>
        <v>0</v>
      </c>
      <c r="H30" s="34"/>
      <c r="R30" s="240"/>
      <c r="S30" s="2" t="s">
        <v>45</v>
      </c>
      <c r="T30" s="5">
        <v>87.8</v>
      </c>
      <c r="U30" s="5">
        <v>87.7</v>
      </c>
      <c r="V30" s="18">
        <f t="shared" si="7"/>
        <v>1.1396011396010749E-3</v>
      </c>
      <c r="W30" s="240"/>
      <c r="X30" s="2" t="s">
        <v>45</v>
      </c>
      <c r="Y30" s="5">
        <v>3740</v>
      </c>
      <c r="Z30" s="5">
        <v>3730</v>
      </c>
      <c r="AA30" s="18">
        <f t="shared" si="8"/>
        <v>2.6773761713520749E-3</v>
      </c>
      <c r="AH30" s="229"/>
      <c r="AI30" s="226"/>
      <c r="AJ30" s="34"/>
      <c r="AK30" s="34"/>
      <c r="AL30" s="228"/>
      <c r="AM30" s="229"/>
      <c r="AN30" s="226"/>
      <c r="AO30" s="34"/>
      <c r="AP30" s="34"/>
      <c r="AQ30" s="228"/>
    </row>
    <row r="31" spans="1:43" x14ac:dyDescent="0.25">
      <c r="A31" s="2" t="s">
        <v>95</v>
      </c>
      <c r="B31" s="4">
        <v>0.4</v>
      </c>
      <c r="D31" s="252"/>
      <c r="E31" s="5">
        <f>($B$24*N4)</f>
        <v>0</v>
      </c>
      <c r="F31" s="5">
        <f>($B$24*(N4))</f>
        <v>0</v>
      </c>
      <c r="G31" s="63">
        <f>($B$29*P4)</f>
        <v>0</v>
      </c>
      <c r="H31" s="34"/>
      <c r="R31" s="240"/>
      <c r="S31" s="2" t="s">
        <v>46</v>
      </c>
      <c r="T31" s="5">
        <v>5170</v>
      </c>
      <c r="U31" s="5">
        <v>5170</v>
      </c>
      <c r="V31" s="18">
        <f t="shared" si="7"/>
        <v>0</v>
      </c>
      <c r="W31" s="240"/>
      <c r="X31" s="2" t="s">
        <v>46</v>
      </c>
      <c r="Y31" s="5">
        <v>18800</v>
      </c>
      <c r="Z31" s="5">
        <v>18700</v>
      </c>
      <c r="AA31" s="18">
        <f t="shared" si="8"/>
        <v>5.3333333333333332E-3</v>
      </c>
      <c r="AH31" s="229"/>
      <c r="AI31" s="226"/>
      <c r="AJ31" s="34"/>
      <c r="AK31" s="34"/>
      <c r="AL31" s="228"/>
      <c r="AM31" s="229"/>
      <c r="AN31" s="226"/>
      <c r="AO31" s="34"/>
      <c r="AP31" s="34"/>
      <c r="AQ31" s="228"/>
    </row>
    <row r="32" spans="1:43" ht="15.75" thickBot="1" x14ac:dyDescent="0.3">
      <c r="A32" s="2" t="s">
        <v>96</v>
      </c>
      <c r="B32" s="4">
        <v>53</v>
      </c>
      <c r="D32" s="253"/>
      <c r="E32" s="65" t="e">
        <f>E30/E31</f>
        <v>#DIV/0!</v>
      </c>
      <c r="F32" s="65" t="e">
        <f>F30/F31</f>
        <v>#DIV/0!</v>
      </c>
      <c r="G32" s="66" t="e">
        <f>G30/G31</f>
        <v>#DIV/0!</v>
      </c>
      <c r="H32" s="34"/>
      <c r="R32" s="240"/>
      <c r="S32" s="12" t="s">
        <v>47</v>
      </c>
      <c r="T32" s="30">
        <v>885</v>
      </c>
      <c r="U32" s="30">
        <v>885</v>
      </c>
      <c r="V32" s="31">
        <f t="shared" si="7"/>
        <v>0</v>
      </c>
      <c r="W32" s="240"/>
      <c r="X32" s="12" t="s">
        <v>47</v>
      </c>
      <c r="Y32" s="30">
        <v>45700</v>
      </c>
      <c r="Z32" s="30">
        <v>45500</v>
      </c>
      <c r="AA32" s="31">
        <f t="shared" si="8"/>
        <v>4.3859649122807015E-3</v>
      </c>
      <c r="AH32" s="229"/>
      <c r="AI32" s="226"/>
      <c r="AJ32" s="34"/>
      <c r="AK32" s="34"/>
      <c r="AL32" s="228"/>
      <c r="AM32" s="229"/>
      <c r="AN32" s="226"/>
      <c r="AO32" s="34"/>
      <c r="AP32" s="34"/>
      <c r="AQ32" s="228"/>
    </row>
    <row r="33" spans="1:43" x14ac:dyDescent="0.25">
      <c r="A33" s="3" t="s">
        <v>97</v>
      </c>
      <c r="B33" s="4">
        <f>1/1.03</f>
        <v>0.970873786407767</v>
      </c>
      <c r="D33" s="251" t="s">
        <v>5</v>
      </c>
      <c r="E33" s="15">
        <f>($B$21)*($B$22)*(K6)*(O6)</f>
        <v>0</v>
      </c>
      <c r="F33" s="15">
        <f>($B$21)*($B$22)*($B$25)*(O6)</f>
        <v>0</v>
      </c>
      <c r="G33" s="62">
        <f>($B$21)*($B$22)*($B$26)*($B$27)*(Q6)</f>
        <v>0</v>
      </c>
      <c r="H33" s="34"/>
      <c r="R33" s="246"/>
      <c r="S33" s="2" t="s">
        <v>48</v>
      </c>
      <c r="T33" s="5">
        <v>756</v>
      </c>
      <c r="U33" s="5">
        <v>756</v>
      </c>
      <c r="V33" s="32">
        <f t="shared" si="7"/>
        <v>0</v>
      </c>
      <c r="W33" s="248"/>
      <c r="X33" s="2" t="s">
        <v>48</v>
      </c>
      <c r="Y33" s="5">
        <v>1100</v>
      </c>
      <c r="Z33" s="5">
        <v>1090</v>
      </c>
      <c r="AA33" s="32">
        <f t="shared" si="8"/>
        <v>9.1324200913242004E-3</v>
      </c>
      <c r="AH33" s="229"/>
      <c r="AI33" s="226"/>
      <c r="AJ33" s="34"/>
      <c r="AK33" s="34"/>
      <c r="AL33" s="228"/>
      <c r="AM33" s="229"/>
      <c r="AN33" s="226"/>
      <c r="AO33" s="34"/>
      <c r="AP33" s="34"/>
      <c r="AQ33" s="228"/>
    </row>
    <row r="34" spans="1:43" x14ac:dyDescent="0.25">
      <c r="A34" s="3" t="s">
        <v>98</v>
      </c>
      <c r="B34" s="4">
        <v>92</v>
      </c>
      <c r="D34" s="252"/>
      <c r="E34" s="5">
        <f>($B$24*N6)</f>
        <v>0</v>
      </c>
      <c r="F34" s="5">
        <f>($B$24*(N6))</f>
        <v>0</v>
      </c>
      <c r="G34" s="63">
        <f>($B$29*P6)</f>
        <v>0</v>
      </c>
      <c r="H34" s="34"/>
      <c r="R34" s="240"/>
      <c r="S34" s="27" t="s">
        <v>49</v>
      </c>
      <c r="T34" s="28">
        <v>1640</v>
      </c>
      <c r="U34" s="28">
        <v>1630</v>
      </c>
      <c r="V34" s="29">
        <f t="shared" si="7"/>
        <v>6.1162079510703364E-3</v>
      </c>
      <c r="W34" s="240"/>
      <c r="X34" s="27" t="s">
        <v>49</v>
      </c>
      <c r="Y34" s="28">
        <v>5390</v>
      </c>
      <c r="Z34" s="28">
        <v>5380</v>
      </c>
      <c r="AA34" s="29">
        <f t="shared" si="8"/>
        <v>1.8570102135561746E-3</v>
      </c>
      <c r="AH34" s="229"/>
      <c r="AI34" s="226"/>
      <c r="AJ34" s="34"/>
      <c r="AK34" s="34"/>
      <c r="AL34" s="228"/>
      <c r="AM34" s="229"/>
      <c r="AN34" s="226"/>
      <c r="AO34" s="34"/>
      <c r="AP34" s="34"/>
      <c r="AQ34" s="228"/>
    </row>
    <row r="35" spans="1:43" ht="15.75" thickBot="1" x14ac:dyDescent="0.3">
      <c r="A35" s="3" t="s">
        <v>99</v>
      </c>
      <c r="B35" s="4">
        <v>11.4</v>
      </c>
      <c r="D35" s="253"/>
      <c r="E35" s="65" t="e">
        <f>E33/E34</f>
        <v>#DIV/0!</v>
      </c>
      <c r="F35" s="65" t="e">
        <f>F33/F34</f>
        <v>#DIV/0!</v>
      </c>
      <c r="G35" s="66" t="e">
        <f>G33/G34</f>
        <v>#DIV/0!</v>
      </c>
      <c r="H35" s="34"/>
      <c r="R35" s="240"/>
      <c r="S35" s="12" t="s">
        <v>50</v>
      </c>
      <c r="T35" s="30">
        <v>0.30499999999999999</v>
      </c>
      <c r="U35" s="30">
        <v>0.30499999999999999</v>
      </c>
      <c r="V35" s="31">
        <f t="shared" si="7"/>
        <v>0</v>
      </c>
      <c r="W35" s="240"/>
      <c r="X35" s="12" t="s">
        <v>50</v>
      </c>
      <c r="Y35" s="30">
        <v>1.46E-4</v>
      </c>
      <c r="Z35" s="30">
        <v>1.45E-4</v>
      </c>
      <c r="AA35" s="31">
        <f>(Y35-Z35)/((1/2)*(Y35+Z35))</f>
        <v>6.8728522336769559E-3</v>
      </c>
      <c r="AH35" s="229"/>
      <c r="AI35" s="226"/>
      <c r="AJ35" s="34"/>
      <c r="AK35" s="34"/>
      <c r="AL35" s="228"/>
      <c r="AM35" s="229"/>
      <c r="AN35" s="226"/>
      <c r="AO35" s="34"/>
      <c r="AP35" s="34"/>
      <c r="AQ35" s="228"/>
    </row>
    <row r="36" spans="1:43" x14ac:dyDescent="0.25">
      <c r="A36" s="35" t="s">
        <v>119</v>
      </c>
      <c r="B36" s="36">
        <v>2.6999999999999999E-5</v>
      </c>
      <c r="H36" s="34"/>
      <c r="R36" s="246"/>
      <c r="S36" s="2" t="s">
        <v>60</v>
      </c>
      <c r="T36" s="5">
        <v>0.97499999999999998</v>
      </c>
      <c r="U36" s="5">
        <v>0.97199999999999998</v>
      </c>
      <c r="V36" s="32">
        <f t="shared" si="7"/>
        <v>3.0816640986132539E-3</v>
      </c>
      <c r="W36" s="250"/>
      <c r="X36" s="12" t="s">
        <v>60</v>
      </c>
      <c r="Y36" s="30">
        <v>8.4599999999999995E-2</v>
      </c>
      <c r="Z36" s="30">
        <v>8.3799999999999999E-2</v>
      </c>
      <c r="AA36" s="31">
        <f>(Y36-Z36)/((1/2)*(Y36+Z36))</f>
        <v>9.5011876484560002E-3</v>
      </c>
      <c r="AH36" s="229"/>
      <c r="AI36" s="226"/>
      <c r="AJ36" s="34"/>
      <c r="AK36" s="34"/>
      <c r="AL36" s="228"/>
      <c r="AM36" s="229"/>
      <c r="AN36" s="226"/>
      <c r="AO36" s="34"/>
      <c r="AP36" s="34"/>
      <c r="AQ36" s="228"/>
    </row>
    <row r="37" spans="1:43" ht="15.75" thickBot="1" x14ac:dyDescent="0.3">
      <c r="H37" s="34"/>
      <c r="R37" s="241"/>
      <c r="S37" s="39" t="s">
        <v>61</v>
      </c>
      <c r="T37" s="40">
        <v>0.23200000000000001</v>
      </c>
      <c r="U37" s="40">
        <v>0.23100000000000001</v>
      </c>
      <c r="V37" s="41">
        <f t="shared" si="7"/>
        <v>4.3196544276457921E-3</v>
      </c>
      <c r="W37" s="241"/>
      <c r="X37" s="19" t="s">
        <v>61</v>
      </c>
      <c r="Y37" s="20">
        <v>1.46E-4</v>
      </c>
      <c r="Z37" s="20">
        <v>1.45E-4</v>
      </c>
      <c r="AA37" s="21">
        <f>(Y37-Z37)/((1/2)*(Y37+Z37))</f>
        <v>6.8728522336769559E-3</v>
      </c>
      <c r="AH37" s="229"/>
      <c r="AI37" s="226"/>
      <c r="AJ37" s="34"/>
      <c r="AK37" s="34"/>
      <c r="AL37" s="228"/>
      <c r="AM37" s="229"/>
      <c r="AN37" s="226"/>
      <c r="AO37" s="34"/>
      <c r="AP37" s="34"/>
      <c r="AQ37" s="228"/>
    </row>
    <row r="38" spans="1:43" x14ac:dyDescent="0.25">
      <c r="H38" s="34"/>
      <c r="R38" s="229"/>
      <c r="S38" s="226"/>
      <c r="T38" s="34"/>
      <c r="U38" s="34"/>
      <c r="V38" s="228"/>
      <c r="W38" s="229"/>
      <c r="X38" s="226"/>
      <c r="Y38" s="34"/>
      <c r="Z38" s="34"/>
      <c r="AA38" s="228"/>
      <c r="AH38" s="229"/>
      <c r="AI38" s="226"/>
      <c r="AJ38" s="34"/>
      <c r="AK38" s="34"/>
      <c r="AL38" s="228"/>
      <c r="AM38" s="229"/>
      <c r="AN38" s="226"/>
      <c r="AO38" s="34"/>
      <c r="AP38" s="34"/>
      <c r="AQ38" s="228"/>
    </row>
    <row r="39" spans="1:43" x14ac:dyDescent="0.25">
      <c r="A39" s="1"/>
      <c r="B39" s="43" t="s">
        <v>205</v>
      </c>
      <c r="C39" s="43" t="s">
        <v>0</v>
      </c>
      <c r="D39" s="44" t="s">
        <v>1</v>
      </c>
      <c r="E39" s="43" t="s">
        <v>69</v>
      </c>
      <c r="F39" s="43" t="s">
        <v>70</v>
      </c>
      <c r="G39" s="43" t="s">
        <v>71</v>
      </c>
      <c r="H39" s="43" t="s">
        <v>100</v>
      </c>
      <c r="I39" s="43" t="s">
        <v>103</v>
      </c>
      <c r="J39" s="44" t="s">
        <v>101</v>
      </c>
      <c r="K39" s="44" t="s">
        <v>102</v>
      </c>
      <c r="L39" s="43" t="s">
        <v>104</v>
      </c>
      <c r="M39" s="44" t="s">
        <v>105</v>
      </c>
      <c r="N39" s="43" t="s">
        <v>106</v>
      </c>
      <c r="O39" s="43" t="s">
        <v>120</v>
      </c>
      <c r="P39" s="43" t="s">
        <v>113</v>
      </c>
      <c r="Q39" s="43" t="s">
        <v>107</v>
      </c>
      <c r="R39" s="43" t="s">
        <v>114</v>
      </c>
      <c r="S39" s="43" t="s">
        <v>108</v>
      </c>
      <c r="T39" s="43" t="s">
        <v>115</v>
      </c>
      <c r="U39" s="43" t="s">
        <v>109</v>
      </c>
      <c r="V39" s="43" t="s">
        <v>116</v>
      </c>
      <c r="W39" s="43" t="s">
        <v>110</v>
      </c>
      <c r="X39" s="43" t="s">
        <v>117</v>
      </c>
      <c r="Y39" s="43" t="s">
        <v>111</v>
      </c>
      <c r="Z39" s="43" t="s">
        <v>118</v>
      </c>
      <c r="AA39" s="43" t="s">
        <v>112</v>
      </c>
      <c r="AH39" s="229"/>
      <c r="AI39" s="226"/>
      <c r="AJ39" s="34"/>
      <c r="AK39" s="34"/>
      <c r="AL39" s="228"/>
      <c r="AM39" s="229"/>
      <c r="AN39" s="226"/>
      <c r="AO39" s="34"/>
      <c r="AP39" s="34"/>
      <c r="AQ39" s="228"/>
    </row>
    <row r="40" spans="1:43" x14ac:dyDescent="0.25">
      <c r="A40" s="4" t="s">
        <v>2</v>
      </c>
      <c r="B40" s="4" t="s">
        <v>185</v>
      </c>
      <c r="C40" s="5">
        <v>432</v>
      </c>
      <c r="D40" s="5">
        <f>0.693/C40</f>
        <v>1.6041666666666665E-3</v>
      </c>
      <c r="E40" s="5" t="e">
        <f>'Isotope Specific Factors'!#REF!</f>
        <v>#REF!</v>
      </c>
      <c r="F40" s="5" t="e">
        <f>'Isotope Specific Factors'!#REF!</f>
        <v>#REF!</v>
      </c>
      <c r="G40" s="5">
        <f>'Isotope Specific Factors'!E41</f>
        <v>0</v>
      </c>
      <c r="H40" s="5">
        <v>1.91E-5</v>
      </c>
      <c r="I40" s="5">
        <f>C40*365</f>
        <v>157680</v>
      </c>
      <c r="J40" s="5">
        <f>0.693/(($B$2)-(I40))</f>
        <v>-4.3949771689776442E-6</v>
      </c>
      <c r="K40" s="5">
        <f>$B$36-J40</f>
        <v>3.1394977168977642E-5</v>
      </c>
      <c r="L40" s="5">
        <f>(1-EXP(-(K40)*$B$23))</f>
        <v>0.29091154499578509</v>
      </c>
      <c r="M40" s="5">
        <f>J40+(0.693/14)</f>
        <v>4.949560502283102E-2</v>
      </c>
      <c r="N40" s="5">
        <f>(1-EXP(-(M40)*$B$28))</f>
        <v>0.94868315927152969</v>
      </c>
      <c r="O40" s="5">
        <f>'Direct Consump.'!C49</f>
        <v>0</v>
      </c>
      <c r="P40" s="5">
        <f>'Direct Consump.'!E49</f>
        <v>0</v>
      </c>
      <c r="Q40" s="5">
        <v>3.0000000000000001E-3</v>
      </c>
      <c r="R40" s="5">
        <f>'Direct Consump.'!D49</f>
        <v>0</v>
      </c>
      <c r="S40" s="5">
        <v>6.0000000000000001E-3</v>
      </c>
      <c r="T40" s="5">
        <f>'Direct Consump.'!I49</f>
        <v>0</v>
      </c>
      <c r="U40" s="5">
        <v>240</v>
      </c>
      <c r="V40" s="5">
        <f>'Direct Consump.'!F49</f>
        <v>0</v>
      </c>
      <c r="W40" s="5">
        <v>5.0000000000000001E-4</v>
      </c>
      <c r="X40" s="5">
        <f>'Direct Consump.'!G49</f>
        <v>0</v>
      </c>
      <c r="Y40" s="5">
        <v>4.2E-7</v>
      </c>
      <c r="Z40" s="5">
        <f>'Direct Consump.'!H49</f>
        <v>0</v>
      </c>
      <c r="AA40" s="5">
        <v>1.7000000000000001E-4</v>
      </c>
      <c r="AH40" s="229"/>
      <c r="AI40" s="226"/>
      <c r="AJ40" s="34"/>
      <c r="AK40" s="34"/>
      <c r="AL40" s="228"/>
      <c r="AM40" s="229"/>
      <c r="AN40" s="226"/>
      <c r="AO40" s="34"/>
      <c r="AP40" s="34"/>
      <c r="AQ40" s="228"/>
    </row>
    <row r="41" spans="1:43" x14ac:dyDescent="0.25">
      <c r="A41" s="4" t="s">
        <v>3</v>
      </c>
      <c r="B41" s="4" t="s">
        <v>185</v>
      </c>
      <c r="C41" s="5">
        <v>5.27</v>
      </c>
      <c r="D41" s="5">
        <f t="shared" ref="D41:D44" si="9">0.693/C41</f>
        <v>0.13149905123339659</v>
      </c>
      <c r="E41" s="5" t="e">
        <f>'Isotope Specific Factors'!#REF!</f>
        <v>#REF!</v>
      </c>
      <c r="F41" s="5" t="e">
        <f>'Isotope Specific Factors'!#REF!</f>
        <v>#REF!</v>
      </c>
      <c r="G41" s="5">
        <f>'Isotope Specific Factors'!E42</f>
        <v>0</v>
      </c>
      <c r="H41" s="5">
        <v>7.4000000000000003E-3</v>
      </c>
      <c r="I41" s="5">
        <f t="shared" ref="I41:I44" si="10">C41*365</f>
        <v>1923.55</v>
      </c>
      <c r="J41" s="5">
        <f t="shared" ref="J41:J44" si="11">0.693/(($B$2)-(I41))</f>
        <v>-3.6027137342947745E-4</v>
      </c>
      <c r="K41" s="5">
        <f t="shared" ref="K41:K44" si="12">$B$36-J41</f>
        <v>3.8727137342947746E-4</v>
      </c>
      <c r="L41" s="5">
        <f t="shared" ref="L41:L44" si="13">(1-EXP(-(K41)*$B$23))</f>
        <v>0.98560136025554701</v>
      </c>
      <c r="M41" s="5">
        <f t="shared" ref="M41:M44" si="14">J41+(0.693/14)</f>
        <v>4.9139728626570518E-2</v>
      </c>
      <c r="N41" s="5">
        <f t="shared" ref="N41:N44" si="15">(1-EXP(-(M41)*$B$28))</f>
        <v>0.94757562990356481</v>
      </c>
      <c r="O41" s="5">
        <f>'Direct Consump.'!C52</f>
        <v>0</v>
      </c>
      <c r="P41" s="5">
        <f>'Direct Consump.'!E52</f>
        <v>0</v>
      </c>
      <c r="Q41" s="5">
        <v>3.3000000000000002E-2</v>
      </c>
      <c r="R41" s="5">
        <f>'Direct Consump.'!D52</f>
        <v>0</v>
      </c>
      <c r="S41" s="5">
        <v>0.97</v>
      </c>
      <c r="T41" s="5">
        <f>'Direct Consump.'!I52</f>
        <v>0</v>
      </c>
      <c r="U41" s="5">
        <v>76</v>
      </c>
      <c r="V41" s="5">
        <f>'Direct Consump.'!F52</f>
        <v>0</v>
      </c>
      <c r="W41" s="5">
        <v>4.2999999999999999E-4</v>
      </c>
      <c r="X41" s="5">
        <f>'Direct Consump.'!G52</f>
        <v>0</v>
      </c>
      <c r="Y41" s="5">
        <v>1.1E-4</v>
      </c>
      <c r="Z41" s="5">
        <f>'Direct Consump.'!H52</f>
        <v>0</v>
      </c>
      <c r="AA41" s="5">
        <v>2E-3</v>
      </c>
      <c r="AH41" s="229"/>
      <c r="AI41" s="226"/>
      <c r="AJ41" s="34"/>
      <c r="AK41" s="34"/>
      <c r="AL41" s="228"/>
      <c r="AM41" s="229"/>
      <c r="AN41" s="226"/>
      <c r="AO41" s="34"/>
      <c r="AP41" s="34"/>
      <c r="AQ41" s="228"/>
    </row>
    <row r="42" spans="1:43" x14ac:dyDescent="0.25">
      <c r="A42" s="4" t="s">
        <v>4</v>
      </c>
      <c r="B42" s="4" t="s">
        <v>185</v>
      </c>
      <c r="C42" s="5">
        <v>12.3</v>
      </c>
      <c r="D42" s="5">
        <f t="shared" si="9"/>
        <v>5.6341463414634141E-2</v>
      </c>
      <c r="E42" s="5" t="e">
        <f>'Isotope Specific Factors'!#REF!</f>
        <v>#REF!</v>
      </c>
      <c r="F42" s="5"/>
      <c r="G42" s="56"/>
      <c r="H42" s="5">
        <v>4.8</v>
      </c>
      <c r="I42" s="5">
        <f t="shared" si="10"/>
        <v>4489.5</v>
      </c>
      <c r="J42" s="5">
        <f t="shared" si="11"/>
        <v>-1.5436017377310618E-4</v>
      </c>
      <c r="K42" s="5">
        <f t="shared" si="12"/>
        <v>1.8136017377310619E-4</v>
      </c>
      <c r="L42" s="5">
        <f t="shared" si="13"/>
        <v>0.86274213592932203</v>
      </c>
      <c r="M42" s="5">
        <f t="shared" si="14"/>
        <v>4.9345639826226889E-2</v>
      </c>
      <c r="N42" s="5">
        <f t="shared" si="15"/>
        <v>0.94821933125257341</v>
      </c>
      <c r="O42" s="5">
        <f>'Direct Consump.'!C55</f>
        <v>0</v>
      </c>
      <c r="P42" s="5">
        <f>'Direct Consump.'!E55</f>
        <v>0</v>
      </c>
      <c r="Q42" s="37"/>
      <c r="R42" s="5">
        <f>'Direct Consump.'!D55</f>
        <v>0</v>
      </c>
      <c r="S42" s="38"/>
      <c r="T42" s="5">
        <f>'Direct Consump.'!I55</f>
        <v>0</v>
      </c>
      <c r="U42" s="5">
        <v>1</v>
      </c>
      <c r="V42" s="5">
        <f>'Direct Consump.'!F55</f>
        <v>0</v>
      </c>
      <c r="W42" s="5">
        <v>1.2E-2</v>
      </c>
      <c r="X42" s="5">
        <f>'Direct Consump.'!G55</f>
        <v>0</v>
      </c>
      <c r="Y42" s="5">
        <v>0.01</v>
      </c>
      <c r="Z42" s="5">
        <f>'Direct Consump.'!H55</f>
        <v>0</v>
      </c>
      <c r="AA42" s="38"/>
      <c r="AH42" s="229"/>
      <c r="AI42" s="226"/>
      <c r="AJ42" s="34"/>
      <c r="AK42" s="34"/>
      <c r="AL42" s="228"/>
      <c r="AM42" s="229"/>
      <c r="AN42" s="226"/>
      <c r="AO42" s="34"/>
      <c r="AP42" s="34"/>
      <c r="AQ42" s="228"/>
    </row>
    <row r="43" spans="1:43" x14ac:dyDescent="0.25">
      <c r="A43" s="4" t="s">
        <v>4</v>
      </c>
      <c r="B43" s="4" t="s">
        <v>158</v>
      </c>
      <c r="C43" s="5">
        <v>12.3</v>
      </c>
      <c r="D43" s="5">
        <f t="shared" si="9"/>
        <v>5.6341463414634141E-2</v>
      </c>
      <c r="E43" s="5" t="e">
        <f>'Isotope Specific Factors'!#REF!</f>
        <v>#REF!</v>
      </c>
      <c r="F43" s="5" t="e">
        <f>'Isotope Specific Factors'!#REF!</f>
        <v>#REF!</v>
      </c>
      <c r="G43" s="56"/>
      <c r="H43" s="5">
        <v>4.8</v>
      </c>
      <c r="I43" s="5">
        <f t="shared" si="10"/>
        <v>4489.5</v>
      </c>
      <c r="J43" s="5">
        <f t="shared" si="11"/>
        <v>-1.5436017377310618E-4</v>
      </c>
      <c r="K43" s="5">
        <f t="shared" si="12"/>
        <v>1.8136017377310619E-4</v>
      </c>
      <c r="L43" s="5">
        <f t="shared" si="13"/>
        <v>0.86274213592932203</v>
      </c>
      <c r="M43" s="5">
        <f t="shared" si="14"/>
        <v>4.9345639826226889E-2</v>
      </c>
      <c r="N43" s="5">
        <f t="shared" si="15"/>
        <v>0.94821933125257341</v>
      </c>
      <c r="O43" s="5">
        <f>'Direct Consump.'!C58</f>
        <v>0</v>
      </c>
      <c r="P43" s="5">
        <f>'Direct Consump.'!E58</f>
        <v>0</v>
      </c>
      <c r="Q43" s="37"/>
      <c r="R43" s="5">
        <f>'Direct Consump.'!D58</f>
        <v>0</v>
      </c>
      <c r="S43" s="38"/>
      <c r="T43" s="5">
        <f>'Direct Consump.'!I58</f>
        <v>0</v>
      </c>
      <c r="U43" s="5">
        <v>1</v>
      </c>
      <c r="V43" s="5">
        <f>'Direct Consump.'!F58</f>
        <v>0</v>
      </c>
      <c r="W43" s="5">
        <v>1.2E-2</v>
      </c>
      <c r="X43" s="5">
        <f>'Direct Consump.'!G58</f>
        <v>0</v>
      </c>
      <c r="Y43" s="5">
        <v>0.01</v>
      </c>
      <c r="Z43" s="5">
        <f>'Direct Consump.'!H58</f>
        <v>0</v>
      </c>
      <c r="AA43" s="38"/>
      <c r="AH43" s="229"/>
      <c r="AI43" s="226"/>
      <c r="AJ43" s="34"/>
      <c r="AK43" s="34"/>
      <c r="AL43" s="228"/>
      <c r="AM43" s="229"/>
      <c r="AN43" s="226"/>
      <c r="AO43" s="34"/>
      <c r="AP43" s="34"/>
      <c r="AQ43" s="228"/>
    </row>
    <row r="44" spans="1:43" x14ac:dyDescent="0.25">
      <c r="A44" s="4" t="s">
        <v>5</v>
      </c>
      <c r="B44" s="4" t="s">
        <v>185</v>
      </c>
      <c r="C44" s="5">
        <v>87.7</v>
      </c>
      <c r="D44" s="5">
        <f t="shared" si="9"/>
        <v>7.9019384264538192E-3</v>
      </c>
      <c r="E44" s="5" t="e">
        <f>'Isotope Specific Factors'!#REF!</f>
        <v>#REF!</v>
      </c>
      <c r="F44" s="5">
        <v>5.2199999999999998E-8</v>
      </c>
      <c r="G44" s="5">
        <f>'Isotope Specific Factors'!E45</f>
        <v>0.49</v>
      </c>
      <c r="H44" s="5">
        <v>8.2700000000000004E-6</v>
      </c>
      <c r="I44" s="5">
        <f t="shared" si="10"/>
        <v>32010.5</v>
      </c>
      <c r="J44" s="5">
        <f t="shared" si="11"/>
        <v>-2.1649146374522396E-5</v>
      </c>
      <c r="K44" s="5">
        <f t="shared" si="12"/>
        <v>4.8649146374522395E-5</v>
      </c>
      <c r="L44" s="5">
        <f t="shared" si="13"/>
        <v>0.4129869060247382</v>
      </c>
      <c r="M44" s="5">
        <f t="shared" si="14"/>
        <v>4.9478350853625473E-2</v>
      </c>
      <c r="N44" s="5">
        <f t="shared" si="15"/>
        <v>0.94863000599562697</v>
      </c>
      <c r="O44" s="5">
        <f>'Direct Consump.'!C61</f>
        <v>0</v>
      </c>
      <c r="P44" s="5">
        <f>'Direct Consump.'!E61</f>
        <v>0</v>
      </c>
      <c r="Q44" s="5">
        <v>1.1999999999999999E-3</v>
      </c>
      <c r="R44" s="5">
        <f>'Direct Consump.'!D61</f>
        <v>0</v>
      </c>
      <c r="S44" s="5">
        <v>3.0000000000000001E-3</v>
      </c>
      <c r="T44" s="5">
        <f>'Direct Consump.'!I61</f>
        <v>0</v>
      </c>
      <c r="U44" s="5">
        <v>21000</v>
      </c>
      <c r="V44" s="5">
        <f>'Direct Consump.'!F61</f>
        <v>0</v>
      </c>
      <c r="W44" s="5">
        <v>1.1000000000000001E-6</v>
      </c>
      <c r="X44" s="5">
        <f>'Direct Consump.'!G61</f>
        <v>0</v>
      </c>
      <c r="Y44" s="5">
        <v>1.0000000000000001E-5</v>
      </c>
      <c r="Z44" s="5">
        <f>'Direct Consump.'!H61</f>
        <v>0</v>
      </c>
      <c r="AA44" s="5">
        <v>8.0000000000000007E-5</v>
      </c>
      <c r="AH44" s="229"/>
      <c r="AI44" s="226"/>
      <c r="AJ44" s="34"/>
      <c r="AK44" s="34"/>
      <c r="AL44" s="228"/>
      <c r="AM44" s="229"/>
      <c r="AN44" s="226"/>
      <c r="AO44" s="34"/>
      <c r="AP44" s="34"/>
      <c r="AQ44" s="228"/>
    </row>
    <row r="45" spans="1:43" x14ac:dyDescent="0.25">
      <c r="R45" s="229"/>
      <c r="S45" s="226"/>
      <c r="T45" s="34"/>
      <c r="U45" s="34"/>
      <c r="V45" s="228"/>
      <c r="W45" s="229"/>
      <c r="X45" s="226"/>
      <c r="Y45" s="34"/>
      <c r="Z45" s="34"/>
      <c r="AA45" s="228"/>
      <c r="AH45" s="229"/>
      <c r="AI45" s="226"/>
      <c r="AJ45" s="34"/>
      <c r="AK45" s="34"/>
      <c r="AL45" s="228"/>
      <c r="AM45" s="229"/>
      <c r="AN45" s="226"/>
      <c r="AO45" s="34"/>
      <c r="AP45" s="34"/>
      <c r="AQ45" s="228"/>
    </row>
    <row r="46" spans="1:43" x14ac:dyDescent="0.25">
      <c r="AH46" s="229"/>
      <c r="AI46" s="226"/>
      <c r="AJ46" s="34"/>
      <c r="AK46" s="34"/>
      <c r="AL46" s="228"/>
      <c r="AM46" s="229"/>
      <c r="AN46" s="226"/>
      <c r="AO46" s="34"/>
      <c r="AP46" s="34"/>
      <c r="AQ46" s="228"/>
    </row>
    <row r="47" spans="1:43" x14ac:dyDescent="0.25">
      <c r="AH47" s="229"/>
      <c r="AI47" s="226"/>
      <c r="AJ47" s="34"/>
      <c r="AK47" s="34"/>
      <c r="AL47" s="228"/>
      <c r="AM47" s="229"/>
      <c r="AN47" s="226"/>
      <c r="AO47" s="34"/>
      <c r="AP47" s="34"/>
      <c r="AQ47" s="228"/>
    </row>
    <row r="48" spans="1:43" x14ac:dyDescent="0.25">
      <c r="AH48" s="229"/>
      <c r="AI48" s="226"/>
      <c r="AJ48" s="34"/>
      <c r="AK48" s="34"/>
      <c r="AL48" s="228"/>
      <c r="AM48" s="229"/>
      <c r="AN48" s="226"/>
      <c r="AO48" s="34"/>
      <c r="AP48" s="34"/>
      <c r="AQ48" s="228"/>
    </row>
    <row r="49" spans="34:43" x14ac:dyDescent="0.25">
      <c r="AH49" s="229"/>
      <c r="AI49" s="226"/>
      <c r="AJ49" s="34"/>
      <c r="AK49" s="34"/>
      <c r="AL49" s="228"/>
      <c r="AM49" s="229"/>
      <c r="AN49" s="226"/>
      <c r="AO49" s="34"/>
      <c r="AP49" s="34"/>
      <c r="AQ49" s="228"/>
    </row>
  </sheetData>
  <mergeCells count="12">
    <mergeCell ref="R2:R19"/>
    <mergeCell ref="W2:W19"/>
    <mergeCell ref="R20:R37"/>
    <mergeCell ref="W20:W37"/>
    <mergeCell ref="D24:D26"/>
    <mergeCell ref="D27:D29"/>
    <mergeCell ref="D30:D32"/>
    <mergeCell ref="D33:D35"/>
    <mergeCell ref="D10:D12"/>
    <mergeCell ref="D13:D15"/>
    <mergeCell ref="D16:D18"/>
    <mergeCell ref="D19:D21"/>
  </mergeCells>
  <conditionalFormatting sqref="V10:V27">
    <cfRule type="cellIs" dxfId="26" priority="15" operator="notEqual">
      <formula>0</formula>
    </cfRule>
  </conditionalFormatting>
  <conditionalFormatting sqref="V28:V38 V45">
    <cfRule type="cellIs" dxfId="25" priority="14" operator="notEqual">
      <formula>0</formula>
    </cfRule>
  </conditionalFormatting>
  <conditionalFormatting sqref="AA10:AA27">
    <cfRule type="cellIs" dxfId="24" priority="13" operator="notEqual">
      <formula>0</formula>
    </cfRule>
  </conditionalFormatting>
  <conditionalFormatting sqref="AA28:AA38 AA45">
    <cfRule type="cellIs" dxfId="23" priority="12" operator="notEqual">
      <formula>0</formula>
    </cfRule>
  </conditionalFormatting>
  <conditionalFormatting sqref="AA45 AA10:AA38 V10:V38 V45">
    <cfRule type="cellIs" dxfId="22" priority="11" operator="lessThan">
      <formula>-0.01</formula>
    </cfRule>
  </conditionalFormatting>
  <conditionalFormatting sqref="AL14:AL31">
    <cfRule type="cellIs" dxfId="21" priority="10" operator="notEqual">
      <formula>0</formula>
    </cfRule>
  </conditionalFormatting>
  <conditionalFormatting sqref="AL32:AL49">
    <cfRule type="cellIs" dxfId="20" priority="9" operator="notEqual">
      <formula>0</formula>
    </cfRule>
  </conditionalFormatting>
  <conditionalFormatting sqref="AQ14:AQ31">
    <cfRule type="cellIs" dxfId="19" priority="8" operator="notEqual">
      <formula>0</formula>
    </cfRule>
  </conditionalFormatting>
  <conditionalFormatting sqref="AQ32:AQ49">
    <cfRule type="cellIs" dxfId="18" priority="7" operator="notEqual">
      <formula>0</formula>
    </cfRule>
  </conditionalFormatting>
  <conditionalFormatting sqref="AL14:AL49 AQ14:AQ49">
    <cfRule type="cellIs" dxfId="17" priority="6" operator="lessThan">
      <formula>-0.01</formula>
    </cfRule>
  </conditionalFormatting>
  <conditionalFormatting sqref="V2:V19">
    <cfRule type="cellIs" dxfId="16" priority="5" operator="notEqual">
      <formula>0</formula>
    </cfRule>
  </conditionalFormatting>
  <conditionalFormatting sqref="V20:V37">
    <cfRule type="cellIs" dxfId="15" priority="4" operator="notEqual">
      <formula>0</formula>
    </cfRule>
  </conditionalFormatting>
  <conditionalFormatting sqref="AA2:AA19">
    <cfRule type="cellIs" dxfId="14" priority="3" operator="notEqual">
      <formula>0</formula>
    </cfRule>
  </conditionalFormatting>
  <conditionalFormatting sqref="AA20:AA37">
    <cfRule type="cellIs" dxfId="13" priority="2" operator="notEqual">
      <formula>0</formula>
    </cfRule>
  </conditionalFormatting>
  <conditionalFormatting sqref="V2:V37 AA2:AA37">
    <cfRule type="cellIs" dxfId="12" priority="1" operator="lessThan">
      <formula>-0.01</formula>
    </cfRule>
  </conditionalFormatting>
  <pageMargins left="0.7" right="0.7" top="0.75" bottom="0.75" header="0.3" footer="0.3"/>
  <pageSetup scale="4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zoomScale="40" zoomScaleNormal="40" workbookViewId="0">
      <selection activeCell="AY21" sqref="AY21"/>
    </sheetView>
  </sheetViews>
  <sheetFormatPr defaultRowHeight="15" x14ac:dyDescent="0.25"/>
  <cols>
    <col min="1" max="1" width="9.7109375" bestFit="1" customWidth="1"/>
    <col min="2" max="2" width="9" bestFit="1" customWidth="1"/>
    <col min="3" max="3" width="7.7109375" bestFit="1" customWidth="1"/>
    <col min="4" max="4" width="10.28515625" bestFit="1" customWidth="1"/>
    <col min="5" max="5" width="9.28515625" bestFit="1" customWidth="1"/>
    <col min="6" max="6" width="10" bestFit="1" customWidth="1"/>
    <col min="7" max="7" width="12.7109375" bestFit="1" customWidth="1"/>
    <col min="8" max="8" width="9.28515625" bestFit="1" customWidth="1"/>
    <col min="9" max="9" width="9.140625" bestFit="1" customWidth="1"/>
    <col min="10" max="10" width="9" bestFit="1" customWidth="1"/>
    <col min="11" max="11" width="9.28515625" bestFit="1" customWidth="1"/>
    <col min="12" max="13" width="10.28515625" bestFit="1" customWidth="1"/>
    <col min="14" max="14" width="9" bestFit="1" customWidth="1"/>
    <col min="15" max="15" width="9.140625" bestFit="1" customWidth="1"/>
    <col min="16" max="16" width="9.28515625" bestFit="1" customWidth="1"/>
    <col min="17" max="17" width="13.7109375" bestFit="1" customWidth="1"/>
    <col min="18" max="18" width="12.7109375" bestFit="1" customWidth="1"/>
    <col min="19" max="19" width="10.28515625" bestFit="1" customWidth="1"/>
    <col min="20" max="20" width="12" bestFit="1" customWidth="1"/>
    <col min="21" max="21" width="8.85546875" bestFit="1" customWidth="1"/>
    <col min="22" max="22" width="12.85546875" bestFit="1" customWidth="1"/>
    <col min="23" max="23" width="10" bestFit="1" customWidth="1"/>
    <col min="24" max="24" width="13.5703125" bestFit="1" customWidth="1"/>
    <col min="25" max="25" width="9.28515625" bestFit="1" customWidth="1"/>
    <col min="26" max="26" width="14.28515625" bestFit="1" customWidth="1"/>
    <col min="27" max="27" width="8.85546875" bestFit="1" customWidth="1"/>
    <col min="28" max="28" width="12.140625" bestFit="1" customWidth="1"/>
  </cols>
  <sheetData>
    <row r="1" spans="1:29" x14ac:dyDescent="0.25">
      <c r="A1" s="101" t="s">
        <v>7</v>
      </c>
      <c r="B1" s="102" t="s">
        <v>8</v>
      </c>
      <c r="C1" s="112"/>
      <c r="D1" s="217" t="s">
        <v>205</v>
      </c>
      <c r="E1" s="113" t="s">
        <v>0</v>
      </c>
      <c r="F1" s="114" t="s">
        <v>1</v>
      </c>
      <c r="G1" s="88" t="s">
        <v>162</v>
      </c>
      <c r="H1" s="113" t="s">
        <v>174</v>
      </c>
      <c r="I1" s="113" t="s">
        <v>70</v>
      </c>
      <c r="J1" s="113" t="s">
        <v>175</v>
      </c>
      <c r="K1" s="113" t="s">
        <v>178</v>
      </c>
      <c r="L1" s="113" t="s">
        <v>177</v>
      </c>
      <c r="M1" s="113" t="s">
        <v>176</v>
      </c>
      <c r="N1" s="113" t="s">
        <v>149</v>
      </c>
      <c r="O1" s="113" t="s">
        <v>100</v>
      </c>
      <c r="P1" s="114" t="s">
        <v>161</v>
      </c>
      <c r="Q1" s="113" t="s">
        <v>120</v>
      </c>
      <c r="R1" s="113" t="s">
        <v>113</v>
      </c>
      <c r="S1" s="113" t="s">
        <v>107</v>
      </c>
      <c r="T1" s="113" t="s">
        <v>114</v>
      </c>
      <c r="U1" s="113" t="s">
        <v>108</v>
      </c>
      <c r="V1" s="113" t="s">
        <v>115</v>
      </c>
      <c r="W1" s="113" t="s">
        <v>109</v>
      </c>
      <c r="X1" s="113" t="s">
        <v>116</v>
      </c>
      <c r="Y1" s="113" t="s">
        <v>110</v>
      </c>
      <c r="Z1" s="113" t="s">
        <v>117</v>
      </c>
      <c r="AA1" s="113" t="s">
        <v>111</v>
      </c>
      <c r="AB1" s="113" t="s">
        <v>118</v>
      </c>
      <c r="AC1" s="115" t="s">
        <v>112</v>
      </c>
    </row>
    <row r="2" spans="1:29" x14ac:dyDescent="0.25">
      <c r="A2" s="103" t="s">
        <v>9</v>
      </c>
      <c r="B2" s="17">
        <v>9.9999999999999995E-7</v>
      </c>
      <c r="C2" s="83" t="s">
        <v>2</v>
      </c>
      <c r="D2" s="211" t="s">
        <v>185</v>
      </c>
      <c r="E2" s="5">
        <v>432</v>
      </c>
      <c r="F2" s="5">
        <f>0.693/E2</f>
        <v>1.6041666666666665E-3</v>
      </c>
      <c r="G2" s="89">
        <f>(1-EXP(-(F2)*$B$3))</f>
        <v>6.2151321608735488E-2</v>
      </c>
      <c r="H2" s="5">
        <v>1.8400000000000001E-10</v>
      </c>
      <c r="I2" s="5">
        <f>'Isotope Specific Factors'!C19</f>
        <v>3.77E-8</v>
      </c>
      <c r="J2" s="5">
        <f>'Isotope Specific Factors'!D3</f>
        <v>2.77E-8</v>
      </c>
      <c r="K2" s="5">
        <v>1</v>
      </c>
      <c r="L2" s="5">
        <v>0.4</v>
      </c>
      <c r="M2" s="5">
        <v>1</v>
      </c>
      <c r="N2" s="5">
        <v>2.1999999999999999E-5</v>
      </c>
      <c r="O2" s="5">
        <v>1.91E-5</v>
      </c>
      <c r="P2" s="5">
        <v>4</v>
      </c>
      <c r="Q2" s="5">
        <f>'Direct Consump.'!F11</f>
        <v>1.9576878656985403E-3</v>
      </c>
      <c r="R2" s="5">
        <f>'Direct Consump.'!H11</f>
        <v>1.1354151776169701E-2</v>
      </c>
      <c r="S2" s="5">
        <v>3.0000000000000001E-3</v>
      </c>
      <c r="T2" s="5">
        <f>'Direct Consump.'!G11</f>
        <v>5.6668159305982777E-3</v>
      </c>
      <c r="U2" s="5">
        <v>6.0000000000000001E-3</v>
      </c>
      <c r="V2" s="5">
        <f>'Direct Consump.'!L11</f>
        <v>3.8618346773290372E-3</v>
      </c>
      <c r="W2" s="5">
        <v>240</v>
      </c>
      <c r="X2" s="5">
        <f>'Direct Consump.'!I11</f>
        <v>3.3575777306105257E-3</v>
      </c>
      <c r="Y2" s="5">
        <v>5.0000000000000001E-4</v>
      </c>
      <c r="Z2" s="5">
        <f>'Direct Consump.'!J11</f>
        <v>1.2362420782534805E-3</v>
      </c>
      <c r="AA2" s="5">
        <v>4.2E-7</v>
      </c>
      <c r="AB2" s="5">
        <f>'Direct Consump.'!K11</f>
        <v>6.2050991270790638E-3</v>
      </c>
      <c r="AC2" s="63">
        <v>1.7000000000000001E-4</v>
      </c>
    </row>
    <row r="3" spans="1:29" x14ac:dyDescent="0.25">
      <c r="A3" s="103" t="s">
        <v>121</v>
      </c>
      <c r="B3" s="104">
        <v>40</v>
      </c>
      <c r="C3" s="83" t="s">
        <v>3</v>
      </c>
      <c r="D3" s="211" t="s">
        <v>185</v>
      </c>
      <c r="E3" s="5">
        <v>5.27</v>
      </c>
      <c r="F3" s="5">
        <f t="shared" ref="F3:F6" si="0">0.693/E3</f>
        <v>0.13149905123339659</v>
      </c>
      <c r="G3" s="89">
        <f t="shared" ref="G3:G6" si="1">(1-EXP(-(F3)*$B$3))</f>
        <v>0.99480449811228899</v>
      </c>
      <c r="H3" s="5">
        <v>3.8100000000000003E-11</v>
      </c>
      <c r="I3" s="5">
        <f>'Isotope Specific Factors'!C24</f>
        <v>1.01E-10</v>
      </c>
      <c r="J3" s="5">
        <f>'Isotope Specific Factors'!D4</f>
        <v>1.24E-5</v>
      </c>
      <c r="K3" s="5">
        <v>1</v>
      </c>
      <c r="L3" s="5">
        <v>0.4</v>
      </c>
      <c r="M3" s="5">
        <v>1</v>
      </c>
      <c r="N3" s="5">
        <v>8.5000000000000006E-3</v>
      </c>
      <c r="O3" s="5">
        <v>7.4000000000000003E-3</v>
      </c>
      <c r="P3" s="5">
        <v>480</v>
      </c>
      <c r="Q3" s="5">
        <f>'Direct Consump.'!F14</f>
        <v>1.1763684932897058E-2</v>
      </c>
      <c r="R3" s="5">
        <f>'Direct Consump.'!H14</f>
        <v>6.8226741614652017E-2</v>
      </c>
      <c r="S3" s="5">
        <v>3.3000000000000002E-2</v>
      </c>
      <c r="T3" s="5">
        <f>'Direct Consump.'!G14</f>
        <v>3.4051719044850645E-2</v>
      </c>
      <c r="U3" s="5">
        <v>0.97</v>
      </c>
      <c r="V3" s="5">
        <f>'Direct Consump.'!L14</f>
        <v>2.3205643352560135E-2</v>
      </c>
      <c r="W3" s="5">
        <v>76</v>
      </c>
      <c r="X3" s="5">
        <f>'Direct Consump.'!I14</f>
        <v>2.0175579188421992E-2</v>
      </c>
      <c r="Y3" s="5">
        <v>4.2999999999999999E-4</v>
      </c>
      <c r="Z3" s="5">
        <f>'Direct Consump.'!J14</f>
        <v>7.4285398424200179E-3</v>
      </c>
      <c r="AA3" s="5">
        <v>1.1E-4</v>
      </c>
      <c r="AB3" s="5">
        <f>'Direct Consump.'!K14</f>
        <v>3.7286245875721734E-2</v>
      </c>
      <c r="AC3" s="63">
        <v>2E-3</v>
      </c>
    </row>
    <row r="4" spans="1:29" x14ac:dyDescent="0.25">
      <c r="A4" s="105" t="s">
        <v>122</v>
      </c>
      <c r="B4" s="104">
        <f>($B$5*$B$6*$B$7)+($B$8*$B$9*$B$10)</f>
        <v>1610000</v>
      </c>
      <c r="C4" s="83" t="s">
        <v>4</v>
      </c>
      <c r="D4" s="211" t="s">
        <v>185</v>
      </c>
      <c r="E4" s="5">
        <v>12.3</v>
      </c>
      <c r="F4" s="5">
        <f t="shared" si="0"/>
        <v>5.6341463414634141E-2</v>
      </c>
      <c r="G4" s="89">
        <f t="shared" si="1"/>
        <v>0.89498567783818528</v>
      </c>
      <c r="H4" s="56">
        <v>0</v>
      </c>
      <c r="I4" s="30">
        <f>'Isotope Specific Factors'!C27</f>
        <v>8.4700000000000003E-13</v>
      </c>
      <c r="J4" s="56"/>
      <c r="K4" s="175">
        <v>1</v>
      </c>
      <c r="L4" s="175">
        <v>0.4</v>
      </c>
      <c r="M4" s="175">
        <v>0.9</v>
      </c>
      <c r="N4" s="5">
        <v>24</v>
      </c>
      <c r="O4" s="5">
        <v>4.8</v>
      </c>
      <c r="P4" s="5">
        <v>0</v>
      </c>
      <c r="Q4" s="5">
        <f>'Direct Consump.'!F17</f>
        <v>1.8217373194694753</v>
      </c>
      <c r="R4" s="5">
        <f>'Direct Consump.'!H17</f>
        <v>10.565669013935695</v>
      </c>
      <c r="S4" s="37"/>
      <c r="T4" s="5">
        <f>'Direct Consump.'!G17</f>
        <v>5.2732870465289539</v>
      </c>
      <c r="U4" s="38"/>
      <c r="V4" s="5">
        <f>'Direct Consump.'!L17</f>
        <v>3.5936517136256323</v>
      </c>
      <c r="W4" s="5">
        <v>1</v>
      </c>
      <c r="X4" s="5">
        <f>'Direct Consump.'!I17</f>
        <v>3.1244126104292396</v>
      </c>
      <c r="Y4" s="5">
        <v>1.2E-2</v>
      </c>
      <c r="Z4" s="5">
        <f>'Direct Consump.'!J17</f>
        <v>1.1503919339303224</v>
      </c>
      <c r="AA4" s="5">
        <v>0.01</v>
      </c>
      <c r="AB4" s="5">
        <f>'Direct Consump.'!K17</f>
        <v>5.7741894654763524</v>
      </c>
      <c r="AC4" s="116"/>
    </row>
    <row r="5" spans="1:29" x14ac:dyDescent="0.25">
      <c r="A5" s="103" t="s">
        <v>13</v>
      </c>
      <c r="B5" s="104">
        <v>350</v>
      </c>
      <c r="C5" s="180" t="s">
        <v>4</v>
      </c>
      <c r="D5" s="213" t="s">
        <v>158</v>
      </c>
      <c r="E5" s="5">
        <v>12.3</v>
      </c>
      <c r="F5" s="5">
        <f t="shared" ref="F5" si="2">0.693/E5</f>
        <v>5.6341463414634141E-2</v>
      </c>
      <c r="G5" s="89">
        <f t="shared" si="1"/>
        <v>0.89498567783818528</v>
      </c>
      <c r="H5" s="183"/>
      <c r="I5" s="30">
        <f>'Isotope Specific Factors'!C27</f>
        <v>8.4700000000000003E-13</v>
      </c>
      <c r="J5" s="56"/>
      <c r="K5" s="175">
        <v>1</v>
      </c>
      <c r="L5" s="175">
        <v>0.4</v>
      </c>
      <c r="M5" s="175">
        <v>0.9</v>
      </c>
      <c r="N5" s="5">
        <v>24</v>
      </c>
      <c r="O5" s="5">
        <v>4.8</v>
      </c>
      <c r="P5" s="5">
        <v>0</v>
      </c>
      <c r="Q5" s="5">
        <f>'Direct Consump.'!F20</f>
        <v>4.0296493702550604</v>
      </c>
      <c r="R5" s="5">
        <f>'Direct Consump.'!H20</f>
        <v>23.371065099949927</v>
      </c>
      <c r="S5" s="214"/>
      <c r="T5" s="5">
        <f>'Direct Consump.'!G20</f>
        <v>11.664413743474183</v>
      </c>
      <c r="U5" s="215"/>
      <c r="V5" s="5">
        <f>'Direct Consump.'!L20</f>
        <v>7.9490913481119989</v>
      </c>
      <c r="W5" s="5">
        <v>1</v>
      </c>
      <c r="X5" s="5">
        <f>'Direct Consump.'!I20</f>
        <v>6.9111431014102989</v>
      </c>
      <c r="Y5" s="5">
        <v>1.2E-2</v>
      </c>
      <c r="Z5" s="5">
        <f>'Direct Consump.'!J20</f>
        <v>2.5446457524726025</v>
      </c>
      <c r="AA5" s="5">
        <v>0.01</v>
      </c>
      <c r="AB5" s="5">
        <f>'Direct Consump.'!K20</f>
        <v>12.772400660961516</v>
      </c>
      <c r="AC5" s="216"/>
    </row>
    <row r="6" spans="1:29" ht="15.75" thickBot="1" x14ac:dyDescent="0.3">
      <c r="A6" s="103" t="s">
        <v>14</v>
      </c>
      <c r="B6" s="104">
        <v>6</v>
      </c>
      <c r="C6" s="84" t="s">
        <v>5</v>
      </c>
      <c r="D6" s="212" t="s">
        <v>185</v>
      </c>
      <c r="E6" s="20">
        <v>87.7</v>
      </c>
      <c r="F6" s="20">
        <f t="shared" si="0"/>
        <v>7.9019384264538192E-3</v>
      </c>
      <c r="G6" s="90">
        <f t="shared" si="1"/>
        <v>0.27099707676586626</v>
      </c>
      <c r="H6" s="20">
        <v>2.25E-10</v>
      </c>
      <c r="I6" s="20">
        <v>5.2199999999999998E-8</v>
      </c>
      <c r="J6" s="20">
        <f>'Isotope Specific Factors'!D7</f>
        <v>6.9200000000000004E-11</v>
      </c>
      <c r="K6" s="20">
        <v>1</v>
      </c>
      <c r="L6" s="20">
        <v>0.4</v>
      </c>
      <c r="M6" s="20">
        <v>1</v>
      </c>
      <c r="N6" s="20">
        <v>9.5000000000000005E-6</v>
      </c>
      <c r="O6" s="20">
        <v>8.2700000000000004E-6</v>
      </c>
      <c r="P6" s="20">
        <v>5</v>
      </c>
      <c r="Q6" s="20">
        <f>'Direct Consump.'!F23</f>
        <v>1.5522495503171856E-3</v>
      </c>
      <c r="R6" s="20">
        <f>'Direct Consump.'!H23</f>
        <v>9.0027002248919529E-3</v>
      </c>
      <c r="S6" s="20">
        <v>1.1999999999999999E-3</v>
      </c>
      <c r="T6" s="20">
        <f>'Direct Consump.'!G23</f>
        <v>4.4932149982258541E-3</v>
      </c>
      <c r="U6" s="20">
        <v>3.0000000000000001E-3</v>
      </c>
      <c r="V6" s="20">
        <f>'Direct Consump.'!L23</f>
        <v>3.0620464305449171E-3</v>
      </c>
      <c r="W6" s="20">
        <v>21000</v>
      </c>
      <c r="X6" s="20">
        <f>'Direct Consump.'!I23</f>
        <v>2.6622213958687009E-3</v>
      </c>
      <c r="Y6" s="20">
        <v>1.1000000000000001E-6</v>
      </c>
      <c r="Z6" s="20">
        <f>'Direct Consump.'!J23</f>
        <v>9.802156123429964E-4</v>
      </c>
      <c r="AA6" s="20">
        <v>1.0000000000000001E-5</v>
      </c>
      <c r="AB6" s="20">
        <f>'Direct Consump.'!K23</f>
        <v>4.9200194262047012E-3</v>
      </c>
      <c r="AC6" s="117">
        <v>8.0000000000000007E-5</v>
      </c>
    </row>
    <row r="7" spans="1:29" x14ac:dyDescent="0.25">
      <c r="A7" s="103" t="s">
        <v>123</v>
      </c>
      <c r="B7" s="104">
        <v>200</v>
      </c>
      <c r="C7" s="171"/>
    </row>
    <row r="8" spans="1:29" ht="15.75" thickBot="1" x14ac:dyDescent="0.3">
      <c r="A8" s="103" t="s">
        <v>16</v>
      </c>
      <c r="B8" s="104">
        <v>350</v>
      </c>
      <c r="C8" s="171"/>
    </row>
    <row r="9" spans="1:29" ht="26.25" thickBot="1" x14ac:dyDescent="0.3">
      <c r="A9" s="103" t="s">
        <v>17</v>
      </c>
      <c r="B9" s="104">
        <v>34</v>
      </c>
      <c r="C9" s="172"/>
      <c r="D9" s="13"/>
      <c r="E9" s="74" t="s">
        <v>62</v>
      </c>
      <c r="F9" s="74" t="s">
        <v>57</v>
      </c>
      <c r="G9" s="74" t="s">
        <v>173</v>
      </c>
      <c r="H9" s="74" t="s">
        <v>59</v>
      </c>
      <c r="I9" s="148" t="s">
        <v>50</v>
      </c>
      <c r="J9" s="148" t="s">
        <v>47</v>
      </c>
      <c r="K9" s="75" t="s">
        <v>48</v>
      </c>
      <c r="L9" s="148" t="s">
        <v>49</v>
      </c>
      <c r="M9" s="149" t="s">
        <v>45</v>
      </c>
      <c r="N9" s="75" t="s">
        <v>46</v>
      </c>
      <c r="O9" s="79" t="s">
        <v>61</v>
      </c>
      <c r="Q9" s="13"/>
      <c r="R9" s="13"/>
      <c r="S9" s="75" t="s">
        <v>51</v>
      </c>
      <c r="T9" s="75" t="s">
        <v>52</v>
      </c>
      <c r="U9" s="80" t="s">
        <v>53</v>
      </c>
      <c r="V9" s="13"/>
      <c r="W9" s="13"/>
      <c r="X9" s="75" t="s">
        <v>51</v>
      </c>
      <c r="Y9" s="75" t="s">
        <v>52</v>
      </c>
      <c r="Z9" s="80" t="s">
        <v>53</v>
      </c>
    </row>
    <row r="10" spans="1:29" x14ac:dyDescent="0.25">
      <c r="A10" s="103" t="s">
        <v>124</v>
      </c>
      <c r="B10" s="104">
        <v>100</v>
      </c>
      <c r="C10" s="171"/>
      <c r="D10" s="251" t="s">
        <v>2</v>
      </c>
      <c r="E10" s="15">
        <f>$B$2*$B$3*$F2</f>
        <v>6.4166666666666652E-8</v>
      </c>
      <c r="F10" s="15">
        <f>$B$2*$B$3*$F2</f>
        <v>6.4166666666666652E-8</v>
      </c>
      <c r="G10" s="15">
        <f>$B$2*$B$3*$F2</f>
        <v>6.4166666666666652E-8</v>
      </c>
      <c r="H10" s="15">
        <f>Q2</f>
        <v>1.9576878656985403E-3</v>
      </c>
      <c r="I10" s="15">
        <f>V2*P2</f>
        <v>1.5447338709316149E-2</v>
      </c>
      <c r="J10" s="15">
        <f>X2</f>
        <v>3.3575777306105257E-3</v>
      </c>
      <c r="K10" s="15">
        <f>Z2</f>
        <v>1.2362420782534805E-3</v>
      </c>
      <c r="L10" s="15">
        <f>AB2</f>
        <v>6.2050991270790638E-3</v>
      </c>
      <c r="M10" s="15">
        <f>T2</f>
        <v>5.6668159305982777E-3</v>
      </c>
      <c r="N10" s="23">
        <f>R2</f>
        <v>1.1354151776169701E-2</v>
      </c>
      <c r="O10" s="24">
        <f>1</f>
        <v>1</v>
      </c>
      <c r="Q10" s="239" t="s">
        <v>2</v>
      </c>
      <c r="R10" s="14" t="s">
        <v>62</v>
      </c>
      <c r="S10" s="15">
        <v>3.49</v>
      </c>
      <c r="T10" s="15">
        <v>3.48</v>
      </c>
      <c r="U10" s="16">
        <f>(S10-T10)/((1/2)*(S10+T10))</f>
        <v>2.8694404591105395E-3</v>
      </c>
      <c r="V10" s="239" t="s">
        <v>4</v>
      </c>
      <c r="W10" s="14" t="s">
        <v>62</v>
      </c>
      <c r="X10" s="55"/>
      <c r="Y10" s="55"/>
      <c r="Z10" s="184"/>
    </row>
    <row r="11" spans="1:29" x14ac:dyDescent="0.25">
      <c r="A11" s="105" t="s">
        <v>75</v>
      </c>
      <c r="B11" s="104">
        <f>($B$5*$B$6*$B$12*(1/24)*$B$13)+($B$8*$B$9*$B$14*(1/24)*$B$15)</f>
        <v>259000</v>
      </c>
      <c r="C11" s="171"/>
      <c r="D11" s="252"/>
      <c r="E11" s="5">
        <f>$G$2*H$2*$B$4*(1/1000)</f>
        <v>1.8411707513371799E-8</v>
      </c>
      <c r="F11" s="5">
        <f>$G$2*I$2*$B$11*(1/$B$16)*1000</f>
        <v>4.4643882502077257E-10</v>
      </c>
      <c r="G11" s="5">
        <f>$G$2*J$2*$B$17*(1/365)*$B$18*(($B$19*(1/24)*$K2)+($B$20*(1/24)*$L2))*$M2</f>
        <v>4.4493473868183011E-8</v>
      </c>
      <c r="H11" s="5">
        <f>O2+$B$24</f>
        <v>0.2600191</v>
      </c>
      <c r="I11" s="5">
        <f>W2</f>
        <v>240</v>
      </c>
      <c r="J11" s="5">
        <f>Y$2*(($B$30*$B$31*$B$32*($N$2+$B$23))+($B$33*$B$31))</f>
        <v>1.66637947E-3</v>
      </c>
      <c r="K11" s="5">
        <f>AA$2*(1/$B$34)*(($B$35*$B$36*$B$37*($N$2+$B$23))+($B$38*$B$36))</f>
        <v>1.8901516077669907E-6</v>
      </c>
      <c r="L11" s="5">
        <f>AC$2*(($B$39*$B$40*$B$41*($N$2+$B$23))+($B$42*$B$40))</f>
        <v>2.6266757800000009E-4</v>
      </c>
      <c r="M11" s="5">
        <f>U$2*(($B$25*$B$26*$B$27*($N$2+$B$23))+($B$28*$B$26))</f>
        <v>4.3202639999999999E-4</v>
      </c>
      <c r="N11" s="5">
        <f>S$2*(($B$25*$B$26*$B$27*($N$2+$B$23))+($B$28*$B$26))</f>
        <v>2.1601319999999999E-4</v>
      </c>
      <c r="O11" s="26">
        <f>(1/E12)+(1/G12)+(1/H12)+(1/I12)+(1/J12)+(1/K12)+(1/L12)+(1/M12)+(1/N12)</f>
        <v>15178.925579544142</v>
      </c>
      <c r="Q11" s="240"/>
      <c r="R11" s="27" t="s">
        <v>57</v>
      </c>
      <c r="S11" s="182">
        <v>144</v>
      </c>
      <c r="T11" s="182">
        <v>144</v>
      </c>
      <c r="U11" s="29">
        <f t="shared" ref="U11:U21" si="3">(S11-T11)/((1/2)*(S11+T11))</f>
        <v>0</v>
      </c>
      <c r="V11" s="240"/>
      <c r="W11" s="27" t="s">
        <v>57</v>
      </c>
      <c r="X11" s="28">
        <v>0.19500000000000001</v>
      </c>
      <c r="Y11" s="28">
        <v>0.19500000000000001</v>
      </c>
      <c r="Z11" s="29">
        <f>(X11-Y11)/((1/2)*(X11+Y11))</f>
        <v>0</v>
      </c>
    </row>
    <row r="12" spans="1:29" ht="15.75" thickBot="1" x14ac:dyDescent="0.3">
      <c r="A12" s="103" t="s">
        <v>79</v>
      </c>
      <c r="B12" s="104">
        <v>24</v>
      </c>
      <c r="C12" s="171"/>
      <c r="D12" s="253"/>
      <c r="E12" s="46">
        <f>E10/E11</f>
        <v>3.4851013476107298</v>
      </c>
      <c r="F12" s="46">
        <f>F10/F11</f>
        <v>143.73003213526738</v>
      </c>
      <c r="G12" s="46">
        <f>G10/G11</f>
        <v>1.4421590648724736</v>
      </c>
      <c r="H12" s="46">
        <f t="shared" ref="H12:N12" si="4">(H10/H11)*(($B$3*$F$2)/$G$2)</f>
        <v>7.7731546680874803E-3</v>
      </c>
      <c r="I12" s="46">
        <f t="shared" si="4"/>
        <v>6.6451002716118594E-5</v>
      </c>
      <c r="J12" s="46">
        <f t="shared" si="4"/>
        <v>2.0802296412620831</v>
      </c>
      <c r="K12" s="46">
        <f t="shared" si="4"/>
        <v>675.25217651109494</v>
      </c>
      <c r="L12" s="46">
        <f t="shared" si="4"/>
        <v>24.389413974313253</v>
      </c>
      <c r="M12" s="46">
        <f t="shared" si="4"/>
        <v>13.542159697305944</v>
      </c>
      <c r="N12" s="46">
        <f t="shared" si="4"/>
        <v>54.266712899604187</v>
      </c>
      <c r="O12" s="48">
        <f>O10/O11</f>
        <v>6.588081579025913E-5</v>
      </c>
      <c r="Q12" s="240"/>
      <c r="R12" s="27" t="s">
        <v>173</v>
      </c>
      <c r="S12" s="28">
        <v>1.44</v>
      </c>
      <c r="T12" s="28">
        <v>1.44</v>
      </c>
      <c r="U12" s="29">
        <f t="shared" si="3"/>
        <v>0</v>
      </c>
      <c r="V12" s="240"/>
      <c r="W12" s="27" t="s">
        <v>173</v>
      </c>
      <c r="X12" s="59"/>
      <c r="Y12" s="59"/>
      <c r="Z12" s="60"/>
    </row>
    <row r="13" spans="1:29" x14ac:dyDescent="0.25">
      <c r="A13" s="103" t="s">
        <v>77</v>
      </c>
      <c r="B13" s="104">
        <v>10</v>
      </c>
      <c r="C13" s="171"/>
      <c r="D13" s="251" t="s">
        <v>3</v>
      </c>
      <c r="E13" s="15">
        <f>$B$2*$B$3*$F3</f>
        <v>5.2599620493358633E-6</v>
      </c>
      <c r="F13" s="15">
        <f>$B$2*$B$3*$F3</f>
        <v>5.2599620493358633E-6</v>
      </c>
      <c r="G13" s="15">
        <f>$B$2*$B$3*$F3</f>
        <v>5.2599620493358633E-6</v>
      </c>
      <c r="H13" s="15">
        <f>Q3</f>
        <v>1.1763684932897058E-2</v>
      </c>
      <c r="I13" s="15">
        <f>V3*P3</f>
        <v>11.138708809228865</v>
      </c>
      <c r="J13" s="15">
        <f>X3</f>
        <v>2.0175579188421992E-2</v>
      </c>
      <c r="K13" s="15">
        <f>Z3</f>
        <v>7.4285398424200179E-3</v>
      </c>
      <c r="L13" s="15">
        <f>AB3</f>
        <v>3.7286245875721734E-2</v>
      </c>
      <c r="M13" s="15">
        <f>T3</f>
        <v>3.4051719044850645E-2</v>
      </c>
      <c r="N13" s="23">
        <f>R3</f>
        <v>6.8226741614652017E-2</v>
      </c>
      <c r="O13" s="24">
        <f>1</f>
        <v>1</v>
      </c>
      <c r="Q13" s="240"/>
      <c r="R13" s="27" t="s">
        <v>54</v>
      </c>
      <c r="S13" s="28">
        <v>7.77E-3</v>
      </c>
      <c r="T13" s="28">
        <v>7.7200000000000003E-3</v>
      </c>
      <c r="U13" s="29">
        <f t="shared" si="3"/>
        <v>6.4557779212394703E-3</v>
      </c>
      <c r="V13" s="240"/>
      <c r="W13" s="27" t="s">
        <v>54</v>
      </c>
      <c r="X13" s="28">
        <v>0.90700000000000003</v>
      </c>
      <c r="Y13" s="28">
        <v>0.89600000000000002</v>
      </c>
      <c r="Z13" s="29">
        <f t="shared" ref="Z13:Z16" si="5">(X13-Y13)/((1/2)*(X13+Y13))</f>
        <v>1.2201885745978936E-2</v>
      </c>
    </row>
    <row r="14" spans="1:29" x14ac:dyDescent="0.25">
      <c r="A14" s="103" t="s">
        <v>80</v>
      </c>
      <c r="B14" s="104">
        <v>24</v>
      </c>
      <c r="C14" s="171"/>
      <c r="D14" s="252"/>
      <c r="E14" s="5">
        <f>$G$3*H$3*$B$4*(1/1000)</f>
        <v>6.1022302718705933E-8</v>
      </c>
      <c r="F14" s="5">
        <f>$G$3*I$3*$B$11*(1/$B$16)*1000</f>
        <v>1.914385306437957E-11</v>
      </c>
      <c r="G14" s="5">
        <f>$G$3*J$3*$B$17*(1/365)*$B$18*(($B$19*(1/24)*$K3)+($B$20*(1/24)*$L3))*$M3</f>
        <v>3.1880535182397606E-4</v>
      </c>
      <c r="H14" s="5">
        <f>O3+$B$24</f>
        <v>0.26740000000000003</v>
      </c>
      <c r="I14" s="5">
        <f>W3</f>
        <v>76</v>
      </c>
      <c r="J14" s="5">
        <f>Y$3*(($B$30*$B$31*$B$32*($N$3+$B$23))+($B$33*$B$31))</f>
        <v>1.4759943500000001E-3</v>
      </c>
      <c r="K14" s="5">
        <f>AA$3*(1/$B$34)*(($B$35*$B$36*$B$37*($N$3+$B$23))+($B$38*$B$36))</f>
        <v>5.1034126213592233E-4</v>
      </c>
      <c r="L14" s="5">
        <f>AC$3*(($B$39*$B$40*$B$41*($N$3+$B$23))+($B$42*$B$40))</f>
        <v>3.1699000000000002E-3</v>
      </c>
      <c r="M14" s="5">
        <f>U$3*(($B$25*$B$26*$B$27*($N$3+$B$23))+($B$28*$B$26))</f>
        <v>7.1488999999999997E-2</v>
      </c>
      <c r="N14" s="5">
        <f>S$3*(($B$25*$B$26*$B$27*($N$3+$B$23))+($B$28*$B$26))</f>
        <v>2.4321E-3</v>
      </c>
      <c r="O14" s="26">
        <f>(1/E15)+(1/G15)+(1/H15)+(1/I15)+(1/J15)+(1/K15)+(1/L15)+(1/M15)+(1/N15)</f>
        <v>66.65761485582793</v>
      </c>
      <c r="Q14" s="240"/>
      <c r="R14" s="2" t="s">
        <v>50</v>
      </c>
      <c r="S14" s="5">
        <v>6.6500000000000004E-5</v>
      </c>
      <c r="T14" s="5">
        <v>6.6699999999999995E-5</v>
      </c>
      <c r="U14" s="18">
        <f t="shared" si="3"/>
        <v>-3.0030030030028729E-3</v>
      </c>
      <c r="V14" s="240"/>
      <c r="W14" s="2" t="s">
        <v>50</v>
      </c>
      <c r="X14" s="56"/>
      <c r="Y14" s="56"/>
      <c r="Z14" s="60"/>
    </row>
    <row r="15" spans="1:29" ht="15.75" thickBot="1" x14ac:dyDescent="0.3">
      <c r="A15" s="103" t="s">
        <v>78</v>
      </c>
      <c r="B15" s="104">
        <v>20</v>
      </c>
      <c r="C15" s="171"/>
      <c r="D15" s="252"/>
      <c r="E15" s="49">
        <f>E13/E14</f>
        <v>86.19737071514119</v>
      </c>
      <c r="F15" s="49">
        <f>F13/F14</f>
        <v>274759.8423184164</v>
      </c>
      <c r="G15" s="49">
        <f>G13/G14</f>
        <v>1.6498976630229464E-2</v>
      </c>
      <c r="H15" s="46">
        <f t="shared" ref="H15:N15" si="6">(H13/H14)*(($B$3*$F$3)/$G$3)</f>
        <v>0.23260918077732873</v>
      </c>
      <c r="I15" s="46">
        <f t="shared" si="6"/>
        <v>0.77493652120015821</v>
      </c>
      <c r="J15" s="46">
        <f t="shared" si="6"/>
        <v>72.274681485846273</v>
      </c>
      <c r="K15" s="46">
        <f t="shared" si="6"/>
        <v>76.964002330414871</v>
      </c>
      <c r="L15" s="46">
        <f t="shared" si="6"/>
        <v>62.193925296079989</v>
      </c>
      <c r="M15" s="46">
        <f t="shared" si="6"/>
        <v>2.5185158578166611</v>
      </c>
      <c r="N15" s="46">
        <f t="shared" si="6"/>
        <v>148.32626924695603</v>
      </c>
      <c r="O15" s="51">
        <f>O13/O14</f>
        <v>1.5002036934007836E-2</v>
      </c>
      <c r="Q15" s="240"/>
      <c r="R15" s="2" t="s">
        <v>47</v>
      </c>
      <c r="S15" s="5">
        <v>2.08</v>
      </c>
      <c r="T15" s="5">
        <v>2.09</v>
      </c>
      <c r="U15" s="18">
        <f t="shared" si="3"/>
        <v>-4.7961630695442627E-3</v>
      </c>
      <c r="V15" s="240"/>
      <c r="W15" s="2" t="s">
        <v>47</v>
      </c>
      <c r="X15" s="175">
        <v>2.29</v>
      </c>
      <c r="Y15" s="175">
        <v>2.29</v>
      </c>
      <c r="Z15" s="29">
        <f t="shared" si="5"/>
        <v>0</v>
      </c>
    </row>
    <row r="16" spans="1:29" x14ac:dyDescent="0.25">
      <c r="A16" s="105" t="s">
        <v>125</v>
      </c>
      <c r="B16" s="17">
        <f>$B$43*(3600/(0.036*(1-$B$44)*(($B$45/$B$46)^3)*$B$47))</f>
        <v>1359344473.5814338</v>
      </c>
      <c r="C16" s="171"/>
      <c r="D16" s="251" t="s">
        <v>4</v>
      </c>
      <c r="E16" s="55"/>
      <c r="F16" s="15">
        <f>$B$2*$B$3*$F4</f>
        <v>2.2536585365853655E-6</v>
      </c>
      <c r="G16" s="55"/>
      <c r="H16" s="15">
        <f>Q4</f>
        <v>1.8217373194694753</v>
      </c>
      <c r="I16" s="55"/>
      <c r="J16" s="15">
        <f>X4</f>
        <v>3.1244126104292396</v>
      </c>
      <c r="K16" s="15">
        <f>Z4</f>
        <v>1.1503919339303224</v>
      </c>
      <c r="L16" s="55"/>
      <c r="M16" s="55"/>
      <c r="N16" s="52"/>
      <c r="O16" s="24">
        <f>1</f>
        <v>1</v>
      </c>
      <c r="Q16" s="240"/>
      <c r="R16" s="12" t="s">
        <v>48</v>
      </c>
      <c r="S16" s="30">
        <v>675</v>
      </c>
      <c r="T16" s="30">
        <v>677</v>
      </c>
      <c r="U16" s="31">
        <f t="shared" si="3"/>
        <v>-2.9585798816568047E-3</v>
      </c>
      <c r="V16" s="240"/>
      <c r="W16" s="12" t="s">
        <v>48</v>
      </c>
      <c r="X16" s="30">
        <v>0.72699999999999998</v>
      </c>
      <c r="Y16" s="30">
        <v>0.72599999999999998</v>
      </c>
      <c r="Z16" s="31">
        <f t="shared" si="5"/>
        <v>1.3764624913971109E-3</v>
      </c>
    </row>
    <row r="17" spans="1:26" x14ac:dyDescent="0.25">
      <c r="A17" s="105" t="s">
        <v>126</v>
      </c>
      <c r="B17" s="104">
        <f>AVERAGE(B8,B5)</f>
        <v>350</v>
      </c>
      <c r="C17" s="173"/>
      <c r="D17" s="252"/>
      <c r="E17" s="56"/>
      <c r="F17" s="5">
        <f>$G$4*I$4*$B$11*(1/17)*1000</f>
        <v>1.1549158417905659E-5</v>
      </c>
      <c r="G17" s="56"/>
      <c r="H17" s="5">
        <f>O4+$B$24</f>
        <v>5.0599999999999996</v>
      </c>
      <c r="I17" s="56"/>
      <c r="J17" s="5">
        <f>Y$4*(($B$30*$B$31*$B$32*($N$4+$B$23))+($B$33*$B$31))</f>
        <v>3.4297499999999999</v>
      </c>
      <c r="K17" s="5">
        <f>AA$4*(1/$B$34)*(($B$35*$B$36*$B$37*($N$4+$B$23))+($B$38*$B$36))</f>
        <v>3.9828640776699036</v>
      </c>
      <c r="L17" s="56"/>
      <c r="M17" s="56"/>
      <c r="N17" s="53"/>
      <c r="O17" s="26">
        <f>(1/F18)+(1/H18)+(1/K18)</f>
        <v>7.6025909373265357</v>
      </c>
      <c r="Q17" s="240"/>
      <c r="R17" s="2" t="s">
        <v>49</v>
      </c>
      <c r="S17" s="5">
        <v>24.4</v>
      </c>
      <c r="T17" s="5">
        <v>24.5</v>
      </c>
      <c r="U17" s="18">
        <f t="shared" si="3"/>
        <v>-4.089979550102308E-3</v>
      </c>
      <c r="V17" s="240"/>
      <c r="W17" s="2" t="s">
        <v>49</v>
      </c>
      <c r="X17" s="56"/>
      <c r="Y17" s="56"/>
      <c r="Z17" s="61"/>
    </row>
    <row r="18" spans="1:26" ht="15.75" thickBot="1" x14ac:dyDescent="0.3">
      <c r="A18" s="105" t="s">
        <v>127</v>
      </c>
      <c r="B18" s="104">
        <f>B6+B9</f>
        <v>40</v>
      </c>
      <c r="C18" s="171"/>
      <c r="D18" s="253"/>
      <c r="E18" s="57"/>
      <c r="F18" s="46">
        <f>F16/F17</f>
        <v>0.19513616967027864</v>
      </c>
      <c r="G18" s="57"/>
      <c r="H18" s="46">
        <f>(H16/H17)*(($B$3*$F$4)/$G$4)</f>
        <v>0.90658236615108478</v>
      </c>
      <c r="I18" s="57"/>
      <c r="J18" s="46">
        <f>(J16/J17)*(($B$3*$F$4)/$G$4)</f>
        <v>2.2939183009222548</v>
      </c>
      <c r="K18" s="46">
        <f>(K16/K17)*(($B$3*$F$4)/$G$4)</f>
        <v>0.72731471011136872</v>
      </c>
      <c r="L18" s="57"/>
      <c r="M18" s="57"/>
      <c r="N18" s="181"/>
      <c r="O18" s="48">
        <f>O16/O17</f>
        <v>0.13153410570734347</v>
      </c>
      <c r="Q18" s="240"/>
      <c r="R18" s="27" t="s">
        <v>45</v>
      </c>
      <c r="S18" s="28">
        <v>13.5</v>
      </c>
      <c r="T18" s="28">
        <v>13.6</v>
      </c>
      <c r="U18" s="29">
        <f t="shared" si="3"/>
        <v>-7.3800738007379811E-3</v>
      </c>
      <c r="V18" s="240"/>
      <c r="W18" s="27" t="s">
        <v>45</v>
      </c>
      <c r="X18" s="59"/>
      <c r="Y18" s="59"/>
      <c r="Z18" s="61"/>
    </row>
    <row r="19" spans="1:26" x14ac:dyDescent="0.25">
      <c r="A19" s="103" t="s">
        <v>128</v>
      </c>
      <c r="B19" s="104">
        <v>12.167999999999999</v>
      </c>
      <c r="C19" s="171"/>
      <c r="D19" s="251" t="s">
        <v>5</v>
      </c>
      <c r="E19" s="15">
        <f>$B$2*$B$3*$F6</f>
        <v>3.1607753705815275E-7</v>
      </c>
      <c r="F19" s="15">
        <f>$B$2*$B$3*$F6</f>
        <v>3.1607753705815275E-7</v>
      </c>
      <c r="G19" s="15">
        <f>$B$2*$B$3*$F6</f>
        <v>3.1607753705815275E-7</v>
      </c>
      <c r="H19" s="15">
        <f>Q6</f>
        <v>1.5522495503171856E-3</v>
      </c>
      <c r="I19" s="15">
        <f>V6*P6</f>
        <v>1.5310232152724586E-2</v>
      </c>
      <c r="J19" s="15">
        <f>X6</f>
        <v>2.6622213958687009E-3</v>
      </c>
      <c r="K19" s="15">
        <f>Z6</f>
        <v>9.802156123429964E-4</v>
      </c>
      <c r="L19" s="15">
        <f>AB6</f>
        <v>4.9200194262047012E-3</v>
      </c>
      <c r="M19" s="15">
        <f>T6</f>
        <v>4.4932149982258541E-3</v>
      </c>
      <c r="N19" s="23">
        <f>R6</f>
        <v>9.0027002248919529E-3</v>
      </c>
      <c r="O19" s="24">
        <f>1</f>
        <v>1</v>
      </c>
      <c r="Q19" s="240"/>
      <c r="R19" s="12" t="s">
        <v>46</v>
      </c>
      <c r="S19" s="30">
        <v>54.3</v>
      </c>
      <c r="T19" s="30">
        <v>54.4</v>
      </c>
      <c r="U19" s="31">
        <f t="shared" si="3"/>
        <v>-1.8399264029439087E-3</v>
      </c>
      <c r="V19" s="240"/>
      <c r="W19" s="12" t="s">
        <v>46</v>
      </c>
      <c r="X19" s="183"/>
      <c r="Y19" s="183"/>
      <c r="Z19" s="176"/>
    </row>
    <row r="20" spans="1:26" ht="15.75" thickBot="1" x14ac:dyDescent="0.3">
      <c r="A20" s="103" t="s">
        <v>129</v>
      </c>
      <c r="B20" s="104">
        <v>10.007999999999999</v>
      </c>
      <c r="C20" s="171"/>
      <c r="D20" s="252"/>
      <c r="E20" s="5">
        <f>$G$6*H$6*$B$4*(1/1000)</f>
        <v>9.8168691058435057E-8</v>
      </c>
      <c r="F20" s="5">
        <f>$G$6*I$6*$B$11*(1/$B$16)*1000</f>
        <v>2.6952890526756321E-9</v>
      </c>
      <c r="G20" s="5">
        <f>$G$6*J$6*$B$17*(1/365)*$B$18*(($B$19*(1/24)*$K6)+($B$20*(1/24)*$L6))*$M6</f>
        <v>4.8465966580467294E-10</v>
      </c>
      <c r="H20" s="5">
        <f>O6+$B$24</f>
        <v>0.26000826999999999</v>
      </c>
      <c r="I20" s="5">
        <f>W6</f>
        <v>21000</v>
      </c>
      <c r="J20" s="5">
        <f>Y$6*(($B$30*$B$31*$B$32*($N$6+$B$23))+($B$33*$B$31))</f>
        <v>3.6658729965E-6</v>
      </c>
      <c r="K20" s="5">
        <f>AA$6*(1/$B$34)*(($B$35*$B$36*$B$37*($N$6+$B$23))+($B$38*$B$36))</f>
        <v>4.5001558737864086E-5</v>
      </c>
      <c r="L20" s="5">
        <f>AC$6*(($B$39*$B$40*$B$41*($N$6+$B$23))+($B$42*$B$40))</f>
        <v>1.2360357200000001E-4</v>
      </c>
      <c r="M20" s="5">
        <f>U$6*(($B$25*$B$26*$B$27*($N$6+$B$23))+($B$28*$B$26))</f>
        <v>2.1600570000000004E-4</v>
      </c>
      <c r="N20" s="5">
        <f>S$6*(($B$25*$B$26*$B$27*($N$6+$B$23))+($B$28*$B$26))</f>
        <v>8.6402279999999996E-5</v>
      </c>
      <c r="O20" s="26">
        <f>(1/E21)+(1/G21)+(1/H21)+(1/I21)+(1/J21)+(1/K21)+(1/L21)+(1/M21)+(1/N21)</f>
        <v>1176147.2072332802</v>
      </c>
      <c r="Q20" s="241"/>
      <c r="R20" s="19" t="s">
        <v>61</v>
      </c>
      <c r="S20" s="20">
        <v>6.5900000000000003E-5</v>
      </c>
      <c r="T20" s="20">
        <v>6.6099999999999994E-5</v>
      </c>
      <c r="U20" s="21">
        <f t="shared" si="3"/>
        <v>-3.0303030303028985E-3</v>
      </c>
      <c r="V20" s="241"/>
      <c r="W20" s="19" t="s">
        <v>61</v>
      </c>
      <c r="X20" s="20">
        <v>0.13200000000000001</v>
      </c>
      <c r="Y20" s="20">
        <v>0.124</v>
      </c>
      <c r="Z20" s="21">
        <f>(X20-Y20)/((1/2)*(X20+Y20))</f>
        <v>6.2500000000000056E-2</v>
      </c>
    </row>
    <row r="21" spans="1:26" ht="15" customHeight="1" thickBot="1" x14ac:dyDescent="0.3">
      <c r="A21" s="103" t="s">
        <v>130</v>
      </c>
      <c r="B21" s="104" t="s">
        <v>100</v>
      </c>
      <c r="C21" s="171"/>
      <c r="D21" s="253"/>
      <c r="E21" s="46">
        <f>E19/E20</f>
        <v>3.2197387339106633</v>
      </c>
      <c r="F21" s="46">
        <f>F19/F20</f>
        <v>117.27036725221748</v>
      </c>
      <c r="G21" s="46">
        <f>G19/G20</f>
        <v>652.16389842008846</v>
      </c>
      <c r="H21" s="46">
        <f t="shared" ref="H21:N21" si="7">(H19/H20)*(($B$3*$F$6)/$G$6)</f>
        <v>6.9631124278114742E-3</v>
      </c>
      <c r="I21" s="46">
        <f t="shared" si="7"/>
        <v>8.5033784415578343E-7</v>
      </c>
      <c r="J21" s="46">
        <f t="shared" si="7"/>
        <v>847.0241267886164</v>
      </c>
      <c r="K21" s="46">
        <f t="shared" si="7"/>
        <v>25.405227303895558</v>
      </c>
      <c r="L21" s="46">
        <f t="shared" si="7"/>
        <v>46.426380064871701</v>
      </c>
      <c r="M21" s="46">
        <f t="shared" si="7"/>
        <v>24.261688068319252</v>
      </c>
      <c r="N21" s="46">
        <f t="shared" si="7"/>
        <v>121.52807328113587</v>
      </c>
      <c r="O21" s="48">
        <f>O19/O20</f>
        <v>8.5023370701390215E-7</v>
      </c>
      <c r="Q21" s="239" t="s">
        <v>3</v>
      </c>
      <c r="R21" s="14" t="s">
        <v>62</v>
      </c>
      <c r="S21" s="15">
        <v>86.2</v>
      </c>
      <c r="T21" s="15">
        <v>86.2</v>
      </c>
      <c r="U21" s="16">
        <f t="shared" si="3"/>
        <v>0</v>
      </c>
      <c r="V21" s="239" t="s">
        <v>5</v>
      </c>
      <c r="W21" s="14" t="s">
        <v>62</v>
      </c>
      <c r="X21" s="15">
        <v>3.22</v>
      </c>
      <c r="Y21" s="15">
        <v>3.23</v>
      </c>
      <c r="Z21" s="16">
        <f>(X21-Y21)/((1/2)*(X21+Y21))</f>
        <v>-3.1007751937983832E-3</v>
      </c>
    </row>
    <row r="22" spans="1:26" x14ac:dyDescent="0.25">
      <c r="A22" s="103" t="s">
        <v>131</v>
      </c>
      <c r="B22" s="104" t="s">
        <v>90</v>
      </c>
      <c r="C22" s="171"/>
      <c r="Q22" s="240"/>
      <c r="R22" s="27" t="s">
        <v>57</v>
      </c>
      <c r="S22" s="182">
        <v>275000</v>
      </c>
      <c r="T22" s="182">
        <v>276000</v>
      </c>
      <c r="U22" s="29">
        <f t="shared" ref="U22:U31" si="8">(S22-T22)/((1/2)*(S22+T22))</f>
        <v>-3.629764065335753E-3</v>
      </c>
      <c r="V22" s="240"/>
      <c r="W22" s="27" t="s">
        <v>57</v>
      </c>
      <c r="X22" s="182">
        <v>117</v>
      </c>
      <c r="Y22" s="182">
        <v>117</v>
      </c>
      <c r="Z22" s="29">
        <f t="shared" ref="Z22:Z29" si="9">(X22-Y22)/((1/2)*(X22+Y22))</f>
        <v>0</v>
      </c>
    </row>
    <row r="23" spans="1:26" x14ac:dyDescent="0.25">
      <c r="A23" s="103" t="s">
        <v>90</v>
      </c>
      <c r="B23" s="104">
        <v>0.25</v>
      </c>
      <c r="C23" s="171"/>
      <c r="H23" s="33"/>
      <c r="Q23" s="240"/>
      <c r="R23" s="27" t="s">
        <v>173</v>
      </c>
      <c r="S23" s="28">
        <v>1.6500000000000001E-2</v>
      </c>
      <c r="T23" s="28">
        <v>1.6500000000000001E-2</v>
      </c>
      <c r="U23" s="29">
        <f t="shared" si="8"/>
        <v>0</v>
      </c>
      <c r="V23" s="240"/>
      <c r="W23" s="27" t="s">
        <v>173</v>
      </c>
      <c r="X23" s="28">
        <v>653</v>
      </c>
      <c r="Y23" s="28">
        <v>653</v>
      </c>
      <c r="Z23" s="29">
        <f t="shared" si="9"/>
        <v>0</v>
      </c>
    </row>
    <row r="24" spans="1:26" x14ac:dyDescent="0.25">
      <c r="A24" s="103" t="s">
        <v>90</v>
      </c>
      <c r="B24" s="104">
        <v>0.26</v>
      </c>
      <c r="C24" s="171"/>
      <c r="H24" s="34"/>
      <c r="Q24" s="240"/>
      <c r="R24" s="27" t="s">
        <v>54</v>
      </c>
      <c r="S24" s="28">
        <v>0.23300000000000001</v>
      </c>
      <c r="T24" s="28">
        <v>0.23</v>
      </c>
      <c r="U24" s="29">
        <f t="shared" si="8"/>
        <v>1.2958963282937375E-2</v>
      </c>
      <c r="V24" s="240"/>
      <c r="W24" s="27" t="s">
        <v>54</v>
      </c>
      <c r="X24" s="28">
        <v>6.96E-3</v>
      </c>
      <c r="Y24" s="28">
        <v>6.8700000000000002E-3</v>
      </c>
      <c r="Z24" s="29">
        <f t="shared" si="9"/>
        <v>1.3015184381778714E-2</v>
      </c>
    </row>
    <row r="25" spans="1:26" x14ac:dyDescent="0.25">
      <c r="A25" s="103" t="s">
        <v>132</v>
      </c>
      <c r="B25" s="104">
        <v>0.2</v>
      </c>
      <c r="C25" s="171"/>
      <c r="H25" s="34"/>
      <c r="Q25" s="240"/>
      <c r="R25" s="2" t="s">
        <v>50</v>
      </c>
      <c r="S25" s="5">
        <v>0.77500000000000002</v>
      </c>
      <c r="T25" s="5">
        <v>0.77400000000000002</v>
      </c>
      <c r="U25" s="18">
        <f t="shared" si="8"/>
        <v>1.2911555842479031E-3</v>
      </c>
      <c r="V25" s="240"/>
      <c r="W25" s="2" t="s">
        <v>50</v>
      </c>
      <c r="X25" s="5">
        <v>8.5000000000000001E-7</v>
      </c>
      <c r="Y25" s="5">
        <v>8.4799999999999997E-7</v>
      </c>
      <c r="Z25" s="18">
        <f t="shared" si="9"/>
        <v>2.3557126030624787E-3</v>
      </c>
    </row>
    <row r="26" spans="1:26" x14ac:dyDescent="0.25">
      <c r="A26" s="103" t="s">
        <v>133</v>
      </c>
      <c r="B26" s="104">
        <v>1</v>
      </c>
      <c r="C26" s="171"/>
      <c r="H26" s="34"/>
      <c r="Q26" s="240"/>
      <c r="R26" s="2" t="s">
        <v>47</v>
      </c>
      <c r="S26" s="5">
        <v>72.3</v>
      </c>
      <c r="T26" s="5">
        <v>72.2</v>
      </c>
      <c r="U26" s="18">
        <f t="shared" si="8"/>
        <v>1.3840830449826202E-3</v>
      </c>
      <c r="V26" s="240"/>
      <c r="W26" s="2" t="s">
        <v>47</v>
      </c>
      <c r="X26" s="5">
        <v>847</v>
      </c>
      <c r="Y26" s="5">
        <v>845</v>
      </c>
      <c r="Z26" s="18">
        <f t="shared" si="9"/>
        <v>2.3640661938534278E-3</v>
      </c>
    </row>
    <row r="27" spans="1:26" ht="15" customHeight="1" x14ac:dyDescent="0.25">
      <c r="A27" s="103" t="s">
        <v>134</v>
      </c>
      <c r="B27" s="104">
        <v>1</v>
      </c>
      <c r="C27" s="171"/>
      <c r="H27" s="34"/>
      <c r="Q27" s="240"/>
      <c r="R27" s="12" t="s">
        <v>48</v>
      </c>
      <c r="S27" s="30">
        <v>77</v>
      </c>
      <c r="T27" s="30">
        <v>76.900000000000006</v>
      </c>
      <c r="U27" s="31">
        <f t="shared" si="8"/>
        <v>1.299545159194208E-3</v>
      </c>
      <c r="V27" s="240"/>
      <c r="W27" s="12" t="s">
        <v>48</v>
      </c>
      <c r="X27" s="30">
        <v>25.4</v>
      </c>
      <c r="Y27" s="30">
        <v>25.3</v>
      </c>
      <c r="Z27" s="31">
        <f t="shared" si="9"/>
        <v>3.9447731755423224E-3</v>
      </c>
    </row>
    <row r="28" spans="1:26" x14ac:dyDescent="0.25">
      <c r="A28" s="103" t="s">
        <v>135</v>
      </c>
      <c r="B28" s="104">
        <v>2.1999999999999999E-2</v>
      </c>
      <c r="C28" s="171"/>
      <c r="H28" s="34"/>
      <c r="Q28" s="240"/>
      <c r="R28" s="2" t="s">
        <v>49</v>
      </c>
      <c r="S28" s="5">
        <v>62.2</v>
      </c>
      <c r="T28" s="5">
        <v>62.1</v>
      </c>
      <c r="U28" s="18">
        <f t="shared" si="8"/>
        <v>1.6090104585680034E-3</v>
      </c>
      <c r="V28" s="240"/>
      <c r="W28" s="2" t="s">
        <v>49</v>
      </c>
      <c r="X28" s="5">
        <v>46.4</v>
      </c>
      <c r="Y28" s="5">
        <v>46.3</v>
      </c>
      <c r="Z28" s="18">
        <f t="shared" si="9"/>
        <v>2.1574973031284021E-3</v>
      </c>
    </row>
    <row r="29" spans="1:26" x14ac:dyDescent="0.25">
      <c r="A29" s="103" t="s">
        <v>136</v>
      </c>
      <c r="B29" s="104" t="s">
        <v>149</v>
      </c>
      <c r="C29" s="171"/>
      <c r="H29" s="34"/>
      <c r="Q29" s="240"/>
      <c r="R29" s="27" t="s">
        <v>45</v>
      </c>
      <c r="S29" s="28">
        <v>2.52</v>
      </c>
      <c r="T29" s="28">
        <v>2.52</v>
      </c>
      <c r="U29" s="29">
        <f t="shared" si="8"/>
        <v>0</v>
      </c>
      <c r="V29" s="240"/>
      <c r="W29" s="27" t="s">
        <v>45</v>
      </c>
      <c r="X29" s="28">
        <v>24.3</v>
      </c>
      <c r="Y29" s="28">
        <v>24.2</v>
      </c>
      <c r="Z29" s="29">
        <f t="shared" si="9"/>
        <v>4.1237113402062438E-3</v>
      </c>
    </row>
    <row r="30" spans="1:26" x14ac:dyDescent="0.25">
      <c r="A30" s="103" t="s">
        <v>137</v>
      </c>
      <c r="B30" s="104">
        <v>11.77</v>
      </c>
      <c r="C30" s="171"/>
      <c r="H30" s="34"/>
      <c r="Q30" s="240"/>
      <c r="R30" s="12" t="s">
        <v>46</v>
      </c>
      <c r="S30" s="30">
        <v>148</v>
      </c>
      <c r="T30" s="30">
        <v>148</v>
      </c>
      <c r="U30" s="31">
        <f t="shared" si="8"/>
        <v>0</v>
      </c>
      <c r="V30" s="240"/>
      <c r="W30" s="12" t="s">
        <v>46</v>
      </c>
      <c r="X30" s="30">
        <v>122</v>
      </c>
      <c r="Y30" s="30">
        <v>121</v>
      </c>
      <c r="Z30" s="31">
        <f>(X30-Y30)/((1/2)*(X30+Y30))</f>
        <v>8.23045267489712E-3</v>
      </c>
    </row>
    <row r="31" spans="1:26" ht="15.75" thickBot="1" x14ac:dyDescent="0.3">
      <c r="A31" s="103" t="s">
        <v>138</v>
      </c>
      <c r="B31" s="104">
        <v>1</v>
      </c>
      <c r="C31" s="171"/>
      <c r="H31" s="34"/>
      <c r="Q31" s="241"/>
      <c r="R31" s="39" t="s">
        <v>61</v>
      </c>
      <c r="S31" s="40">
        <v>1.4999999999999999E-2</v>
      </c>
      <c r="T31" s="40">
        <v>1.4999999999999999E-2</v>
      </c>
      <c r="U31" s="41">
        <f t="shared" si="8"/>
        <v>0</v>
      </c>
      <c r="V31" s="241"/>
      <c r="W31" s="19" t="s">
        <v>61</v>
      </c>
      <c r="X31" s="20">
        <v>8.5000000000000001E-7</v>
      </c>
      <c r="Y31" s="20">
        <v>8.4799999999999997E-7</v>
      </c>
      <c r="Z31" s="21">
        <f>(X31-Y31)/((1/2)*(X31+Y31))</f>
        <v>2.3557126030624787E-3</v>
      </c>
    </row>
    <row r="32" spans="1:26" x14ac:dyDescent="0.25">
      <c r="A32" s="103" t="s">
        <v>139</v>
      </c>
      <c r="B32" s="104">
        <v>1</v>
      </c>
      <c r="C32" s="171"/>
      <c r="H32" s="34"/>
    </row>
    <row r="33" spans="1:8" x14ac:dyDescent="0.25">
      <c r="A33" s="103" t="s">
        <v>140</v>
      </c>
      <c r="B33" s="104">
        <v>0.39</v>
      </c>
      <c r="C33" s="171"/>
      <c r="H33" s="34"/>
    </row>
    <row r="34" spans="1:8" x14ac:dyDescent="0.25">
      <c r="A34" s="106" t="s">
        <v>97</v>
      </c>
      <c r="B34" s="104">
        <v>1.03</v>
      </c>
      <c r="C34" s="171"/>
      <c r="H34" s="34"/>
    </row>
    <row r="35" spans="1:8" x14ac:dyDescent="0.25">
      <c r="A35" s="106" t="s">
        <v>141</v>
      </c>
      <c r="B35" s="104">
        <v>16.899999999999999</v>
      </c>
      <c r="C35" s="171"/>
      <c r="H35" s="34"/>
    </row>
    <row r="36" spans="1:8" x14ac:dyDescent="0.25">
      <c r="A36" s="106" t="s">
        <v>142</v>
      </c>
      <c r="B36" s="104">
        <v>1</v>
      </c>
      <c r="C36" s="171"/>
      <c r="H36" s="34"/>
    </row>
    <row r="37" spans="1:8" x14ac:dyDescent="0.25">
      <c r="A37" s="106" t="s">
        <v>143</v>
      </c>
      <c r="B37" s="104">
        <v>1</v>
      </c>
      <c r="C37" s="171"/>
      <c r="H37" s="34"/>
    </row>
    <row r="38" spans="1:8" x14ac:dyDescent="0.25">
      <c r="A38" s="106" t="s">
        <v>144</v>
      </c>
      <c r="B38" s="104">
        <v>0.41</v>
      </c>
      <c r="C38" s="171"/>
      <c r="H38" s="34"/>
    </row>
    <row r="39" spans="1:8" x14ac:dyDescent="0.25">
      <c r="A39" s="106" t="s">
        <v>145</v>
      </c>
      <c r="B39" s="104">
        <v>4.7</v>
      </c>
      <c r="C39" s="171"/>
    </row>
    <row r="40" spans="1:8" x14ac:dyDescent="0.25">
      <c r="A40" s="106" t="s">
        <v>146</v>
      </c>
      <c r="B40" s="104">
        <v>1</v>
      </c>
      <c r="C40" s="171"/>
    </row>
    <row r="41" spans="1:8" x14ac:dyDescent="0.25">
      <c r="A41" s="106" t="s">
        <v>147</v>
      </c>
      <c r="B41" s="104">
        <v>1</v>
      </c>
      <c r="C41" s="171"/>
    </row>
    <row r="42" spans="1:8" x14ac:dyDescent="0.25">
      <c r="A42" s="106" t="s">
        <v>148</v>
      </c>
      <c r="B42" s="104">
        <v>0.37</v>
      </c>
      <c r="C42" s="171"/>
    </row>
    <row r="43" spans="1:8" x14ac:dyDescent="0.25">
      <c r="A43" s="107" t="s">
        <v>150</v>
      </c>
      <c r="B43" s="108">
        <f>$B$48*EXP((((LN($B$49))-$B$50)^2)/$B$51)</f>
        <v>93.773582452087695</v>
      </c>
      <c r="C43" s="171"/>
    </row>
    <row r="44" spans="1:8" x14ac:dyDescent="0.25">
      <c r="A44" s="109" t="s">
        <v>158</v>
      </c>
      <c r="B44" s="104">
        <v>0.5</v>
      </c>
      <c r="C44" s="174"/>
    </row>
    <row r="45" spans="1:8" x14ac:dyDescent="0.25">
      <c r="A45" s="109" t="s">
        <v>151</v>
      </c>
      <c r="B45" s="104">
        <v>4.6900000000000004</v>
      </c>
      <c r="C45" s="171"/>
    </row>
    <row r="46" spans="1:8" x14ac:dyDescent="0.25">
      <c r="A46" s="109" t="s">
        <v>152</v>
      </c>
      <c r="B46" s="104">
        <v>11.32</v>
      </c>
      <c r="C46" s="171"/>
    </row>
    <row r="47" spans="1:8" x14ac:dyDescent="0.25">
      <c r="A47" s="109" t="s">
        <v>153</v>
      </c>
      <c r="B47" s="104">
        <v>0.19400000000000001</v>
      </c>
      <c r="C47" s="171"/>
    </row>
    <row r="48" spans="1:8" x14ac:dyDescent="0.25">
      <c r="A48" s="109" t="s">
        <v>154</v>
      </c>
      <c r="B48" s="104">
        <v>16.2302</v>
      </c>
      <c r="C48" s="171"/>
    </row>
    <row r="49" spans="1:3" x14ac:dyDescent="0.25">
      <c r="A49" s="109" t="s">
        <v>155</v>
      </c>
      <c r="B49" s="104">
        <v>0.5</v>
      </c>
      <c r="C49" s="171"/>
    </row>
    <row r="50" spans="1:3" x14ac:dyDescent="0.25">
      <c r="A50" s="109" t="s">
        <v>156</v>
      </c>
      <c r="B50" s="104">
        <v>18.776199999999999</v>
      </c>
      <c r="C50" s="171"/>
    </row>
    <row r="51" spans="1:3" x14ac:dyDescent="0.25">
      <c r="A51" s="109" t="s">
        <v>157</v>
      </c>
      <c r="B51" s="104">
        <v>216.108</v>
      </c>
      <c r="C51" s="171"/>
    </row>
    <row r="52" spans="1:3" x14ac:dyDescent="0.25">
      <c r="C52" s="171"/>
    </row>
  </sheetData>
  <mergeCells count="8">
    <mergeCell ref="V21:V31"/>
    <mergeCell ref="V10:V20"/>
    <mergeCell ref="Q21:Q31"/>
    <mergeCell ref="Q10:Q20"/>
    <mergeCell ref="D10:D12"/>
    <mergeCell ref="D13:D15"/>
    <mergeCell ref="D16:D18"/>
    <mergeCell ref="D19:D21"/>
  </mergeCells>
  <conditionalFormatting sqref="U10:U31 Z10:Z31">
    <cfRule type="cellIs" dxfId="11" priority="5" operator="notEqual">
      <formula>0</formula>
    </cfRule>
  </conditionalFormatting>
  <conditionalFormatting sqref="U10:U31 Z10:Z31">
    <cfRule type="cellIs" dxfId="10" priority="1" operator="lessThan">
      <formula>-0.01</formula>
    </cfRule>
  </conditionalFormatting>
  <pageMargins left="0.7" right="0.7" top="0.75" bottom="0.75" header="0.3" footer="0.3"/>
  <pageSetup scale="4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55" zoomScaleNormal="55" workbookViewId="0">
      <selection activeCell="P18" sqref="P18"/>
    </sheetView>
  </sheetViews>
  <sheetFormatPr defaultRowHeight="15" x14ac:dyDescent="0.25"/>
  <cols>
    <col min="1" max="3" width="9.140625" style="100"/>
    <col min="4" max="4" width="10.140625" style="100" customWidth="1"/>
    <col min="5" max="5" width="9.85546875" style="100" customWidth="1"/>
    <col min="6" max="6" width="12.85546875" style="100" customWidth="1"/>
    <col min="7" max="7" width="11.7109375" style="100" bestFit="1" customWidth="1"/>
    <col min="8" max="8" width="9.28515625" style="100" bestFit="1" customWidth="1"/>
    <col min="9" max="10" width="9.85546875" style="100" customWidth="1"/>
    <col min="11" max="16384" width="9.140625" style="100"/>
  </cols>
  <sheetData>
    <row r="1" spans="1:10" x14ac:dyDescent="0.25">
      <c r="A1" s="101" t="s">
        <v>7</v>
      </c>
      <c r="B1" s="102" t="s">
        <v>8</v>
      </c>
      <c r="C1" s="153"/>
      <c r="D1" s="217" t="s">
        <v>205</v>
      </c>
      <c r="E1" s="113" t="s">
        <v>0</v>
      </c>
      <c r="F1" s="113" t="s">
        <v>1</v>
      </c>
      <c r="G1" s="113" t="s">
        <v>162</v>
      </c>
      <c r="H1" s="113" t="s">
        <v>70</v>
      </c>
      <c r="I1" s="154" t="s">
        <v>167</v>
      </c>
      <c r="J1" s="115" t="s">
        <v>172</v>
      </c>
    </row>
    <row r="2" spans="1:10" x14ac:dyDescent="0.25">
      <c r="A2" s="103" t="s">
        <v>9</v>
      </c>
      <c r="B2" s="129">
        <v>9.9999999999999995E-7</v>
      </c>
      <c r="C2" s="103" t="s">
        <v>2</v>
      </c>
      <c r="D2" s="220" t="s">
        <v>185</v>
      </c>
      <c r="E2" s="89">
        <v>432</v>
      </c>
      <c r="F2" s="89">
        <f>0.693/E2</f>
        <v>1.6041666666666665E-3</v>
      </c>
      <c r="G2" s="89">
        <f>(1-EXP(-(F2)*$B$3))</f>
        <v>6.2151321608735488E-2</v>
      </c>
      <c r="H2" s="89">
        <f>'Isotope Specific Factors'!C19</f>
        <v>3.77E-8</v>
      </c>
      <c r="I2" s="155">
        <f>'Isotope Specific Factors'!I3</f>
        <v>5.8100000000000005E-11</v>
      </c>
      <c r="J2" s="156">
        <v>1</v>
      </c>
    </row>
    <row r="3" spans="1:10" x14ac:dyDescent="0.25">
      <c r="A3" s="103" t="s">
        <v>121</v>
      </c>
      <c r="B3" s="157">
        <v>40</v>
      </c>
      <c r="C3" s="103" t="s">
        <v>3</v>
      </c>
      <c r="D3" s="220" t="s">
        <v>185</v>
      </c>
      <c r="E3" s="89">
        <v>5.27</v>
      </c>
      <c r="F3" s="89">
        <f t="shared" ref="F3:F6" si="0">0.693/E3</f>
        <v>0.13149905123339659</v>
      </c>
      <c r="G3" s="89">
        <f t="shared" ref="G3:G6" si="1">(1-EXP(-(F3)*$B$3))</f>
        <v>0.99480449811228899</v>
      </c>
      <c r="H3" s="89">
        <f>'Isotope Specific Factors'!C24</f>
        <v>1.01E-10</v>
      </c>
      <c r="I3" s="155">
        <f>'Isotope Specific Factors'!I4</f>
        <v>1.1299999999999999E-8</v>
      </c>
      <c r="J3" s="156">
        <v>1</v>
      </c>
    </row>
    <row r="4" spans="1:10" x14ac:dyDescent="0.25">
      <c r="A4" s="105" t="s">
        <v>165</v>
      </c>
      <c r="B4" s="157">
        <f>(B5*B6*B7*(1/24)*B8)+(B9*B10*B11*(1/24)*B12)</f>
        <v>259000</v>
      </c>
      <c r="C4" s="103" t="s">
        <v>4</v>
      </c>
      <c r="D4" s="220" t="s">
        <v>185</v>
      </c>
      <c r="E4" s="89">
        <v>12.3</v>
      </c>
      <c r="F4" s="89">
        <f t="shared" si="0"/>
        <v>5.6341463414634141E-2</v>
      </c>
      <c r="G4" s="89">
        <f t="shared" si="1"/>
        <v>0.89498567783818528</v>
      </c>
      <c r="H4" s="89">
        <f>'Isotope Specific Factors'!C27</f>
        <v>8.4700000000000003E-13</v>
      </c>
      <c r="I4" s="155">
        <f>'Isotope Specific Factors'!I6</f>
        <v>0</v>
      </c>
      <c r="J4" s="156">
        <v>1</v>
      </c>
    </row>
    <row r="5" spans="1:10" x14ac:dyDescent="0.25">
      <c r="A5" s="103" t="s">
        <v>13</v>
      </c>
      <c r="B5" s="157">
        <v>350</v>
      </c>
      <c r="C5" s="103" t="s">
        <v>4</v>
      </c>
      <c r="D5" s="221" t="s">
        <v>158</v>
      </c>
      <c r="E5" s="89">
        <v>12.3</v>
      </c>
      <c r="F5" s="89">
        <f t="shared" si="0"/>
        <v>5.6341463414634141E-2</v>
      </c>
      <c r="G5" s="89">
        <f t="shared" si="1"/>
        <v>0.89498567783818528</v>
      </c>
      <c r="H5" s="218"/>
      <c r="I5" s="219">
        <f>'Isotope Specific Factors'!I5</f>
        <v>0</v>
      </c>
      <c r="J5" s="156">
        <v>1</v>
      </c>
    </row>
    <row r="6" spans="1:10" ht="15.75" thickBot="1" x14ac:dyDescent="0.3">
      <c r="A6" s="103" t="s">
        <v>14</v>
      </c>
      <c r="B6" s="157">
        <v>6</v>
      </c>
      <c r="C6" s="158" t="s">
        <v>5</v>
      </c>
      <c r="D6" s="222" t="s">
        <v>185</v>
      </c>
      <c r="E6" s="90">
        <v>87.7</v>
      </c>
      <c r="F6" s="90">
        <f t="shared" si="0"/>
        <v>7.9019384264538192E-3</v>
      </c>
      <c r="G6" s="90">
        <f t="shared" si="1"/>
        <v>0.27099707676586626</v>
      </c>
      <c r="H6" s="90">
        <f>'Isotope Specific Factors'!C31</f>
        <v>5.2199999999999998E-8</v>
      </c>
      <c r="I6" s="159">
        <f>'Isotope Specific Factors'!I7</f>
        <v>2.5600000000000002E-13</v>
      </c>
      <c r="J6" s="160">
        <v>1</v>
      </c>
    </row>
    <row r="7" spans="1:10" x14ac:dyDescent="0.25">
      <c r="A7" s="103" t="s">
        <v>79</v>
      </c>
      <c r="B7" s="157">
        <v>24</v>
      </c>
    </row>
    <row r="8" spans="1:10" ht="15.75" thickBot="1" x14ac:dyDescent="0.3">
      <c r="A8" s="103" t="s">
        <v>77</v>
      </c>
      <c r="B8" s="157">
        <v>10</v>
      </c>
    </row>
    <row r="9" spans="1:10" ht="15.75" thickBot="1" x14ac:dyDescent="0.3">
      <c r="A9" s="103" t="s">
        <v>16</v>
      </c>
      <c r="B9" s="157">
        <v>350</v>
      </c>
      <c r="D9" s="254" t="s">
        <v>171</v>
      </c>
      <c r="E9" s="255"/>
      <c r="F9" s="255"/>
      <c r="G9" s="255"/>
      <c r="H9" s="255"/>
      <c r="I9" s="255"/>
      <c r="J9" s="256"/>
    </row>
    <row r="10" spans="1:10" x14ac:dyDescent="0.25">
      <c r="A10" s="103" t="s">
        <v>17</v>
      </c>
      <c r="B10" s="157">
        <v>34</v>
      </c>
      <c r="D10" s="161"/>
      <c r="E10" s="263" t="s">
        <v>168</v>
      </c>
      <c r="F10" s="264"/>
      <c r="G10" s="265"/>
      <c r="H10" s="257" t="s">
        <v>169</v>
      </c>
      <c r="I10" s="258"/>
      <c r="J10" s="259"/>
    </row>
    <row r="11" spans="1:10" ht="15.75" thickBot="1" x14ac:dyDescent="0.3">
      <c r="A11" s="103" t="s">
        <v>80</v>
      </c>
      <c r="B11" s="157">
        <v>24</v>
      </c>
      <c r="D11" s="162"/>
      <c r="E11" s="118" t="s">
        <v>57</v>
      </c>
      <c r="F11" s="119" t="s">
        <v>170</v>
      </c>
      <c r="G11" s="120" t="s">
        <v>61</v>
      </c>
      <c r="H11" s="121" t="s">
        <v>57</v>
      </c>
      <c r="I11" s="74" t="s">
        <v>170</v>
      </c>
      <c r="J11" s="122" t="s">
        <v>61</v>
      </c>
    </row>
    <row r="12" spans="1:10" x14ac:dyDescent="0.25">
      <c r="A12" s="103" t="s">
        <v>78</v>
      </c>
      <c r="B12" s="157">
        <v>20</v>
      </c>
      <c r="D12" s="260" t="s">
        <v>2</v>
      </c>
      <c r="E12" s="123">
        <f>$B$2*$B$3*$F2</f>
        <v>6.4166666666666652E-8</v>
      </c>
      <c r="F12" s="123">
        <f>$B$2*$B$3*$F2</f>
        <v>6.4166666666666652E-8</v>
      </c>
      <c r="G12" s="124">
        <f>1</f>
        <v>1</v>
      </c>
      <c r="H12" s="125">
        <f>$B$2</f>
        <v>9.9999999999999995E-7</v>
      </c>
      <c r="I12" s="125">
        <f>$B$2</f>
        <v>9.9999999999999995E-7</v>
      </c>
      <c r="J12" s="126">
        <f>1</f>
        <v>1</v>
      </c>
    </row>
    <row r="13" spans="1:10" x14ac:dyDescent="0.25">
      <c r="A13" s="105" t="s">
        <v>126</v>
      </c>
      <c r="B13" s="157">
        <f>AVERAGE(B5,B9)</f>
        <v>350</v>
      </c>
      <c r="D13" s="261" t="s">
        <v>3</v>
      </c>
      <c r="E13" s="127">
        <f>$G2*$H2*$B$4</f>
        <v>6.0686414958417592E-4</v>
      </c>
      <c r="F13" s="127">
        <f>$G2*$I2*$B$13*(1/365)*$B$14*$B$15*(1/24)*$J2</f>
        <v>1.3850379451108341E-10</v>
      </c>
      <c r="G13" s="128">
        <f>(1/E14)+(1/F14)</f>
        <v>9457.6252689034391</v>
      </c>
      <c r="H13" s="127">
        <f>$H2*$B$4</f>
        <v>9.7643000000000001E-3</v>
      </c>
      <c r="I13" s="127">
        <f>$I2*$B$13*(1/365)*$B$14*$B$15*(1/24)*$J2</f>
        <v>2.2284931506849318E-9</v>
      </c>
      <c r="J13" s="129">
        <f>(1/H14)+(1/I14)</f>
        <v>9764.3022284931521</v>
      </c>
    </row>
    <row r="14" spans="1:10" ht="15.75" thickBot="1" x14ac:dyDescent="0.3">
      <c r="A14" s="105" t="s">
        <v>127</v>
      </c>
      <c r="B14" s="157">
        <f>B6+B10</f>
        <v>40</v>
      </c>
      <c r="D14" s="262" t="s">
        <v>4</v>
      </c>
      <c r="E14" s="130">
        <f>E12/E13</f>
        <v>1.0573481183660912E-4</v>
      </c>
      <c r="F14" s="131">
        <f t="shared" ref="F14:J14" si="2">F12/F13</f>
        <v>463.28453955484866</v>
      </c>
      <c r="G14" s="132">
        <f t="shared" si="2"/>
        <v>1.0573478770489969E-4</v>
      </c>
      <c r="H14" s="130">
        <f t="shared" si="2"/>
        <v>1.0241389551734379E-4</v>
      </c>
      <c r="I14" s="131">
        <f t="shared" si="2"/>
        <v>448.73371035161045</v>
      </c>
      <c r="J14" s="133">
        <f t="shared" si="2"/>
        <v>1.024138721435625E-4</v>
      </c>
    </row>
    <row r="15" spans="1:10" ht="15.75" thickBot="1" x14ac:dyDescent="0.3">
      <c r="A15" s="163" t="s">
        <v>166</v>
      </c>
      <c r="B15" s="164">
        <f>AVERAGE(B7,B11)</f>
        <v>24</v>
      </c>
      <c r="D15" s="260" t="s">
        <v>3</v>
      </c>
      <c r="E15" s="123">
        <f>$B$2*$B$3*$F3</f>
        <v>5.2599620493358633E-6</v>
      </c>
      <c r="F15" s="123">
        <f>$B$2*$B$3*$F3</f>
        <v>5.2599620493358633E-6</v>
      </c>
      <c r="G15" s="124">
        <f>1</f>
        <v>1</v>
      </c>
      <c r="H15" s="125">
        <f>$B$2</f>
        <v>9.9999999999999995E-7</v>
      </c>
      <c r="I15" s="125">
        <f>$B$2</f>
        <v>9.9999999999999995E-7</v>
      </c>
      <c r="J15" s="126">
        <f>1</f>
        <v>1</v>
      </c>
    </row>
    <row r="16" spans="1:10" x14ac:dyDescent="0.25">
      <c r="D16" s="261" t="s">
        <v>2</v>
      </c>
      <c r="E16" s="127">
        <f>$G3*$H3*$B$4</f>
        <v>2.6023090866119365E-5</v>
      </c>
      <c r="F16" s="127">
        <f>$G3*$I3*$B$13*(1/365)*$B$14*$B$15*(1/24)*$J3</f>
        <v>4.3117279890784679E-7</v>
      </c>
      <c r="G16" s="128">
        <f>(1/E17)+(1/F17)</f>
        <v>5.0293639796065444</v>
      </c>
      <c r="H16" s="127">
        <f>$H3*$B$4</f>
        <v>2.6159000000000001E-5</v>
      </c>
      <c r="I16" s="127">
        <f>$I3*$B$13*(1/365)*$B$14*$B$15*(1/24)*$J3</f>
        <v>4.3342465753424653E-7</v>
      </c>
      <c r="J16" s="129">
        <f>(1/H17)+(1/I17)</f>
        <v>26.592424657534249</v>
      </c>
    </row>
    <row r="17" spans="4:10" ht="15.75" thickBot="1" x14ac:dyDescent="0.3">
      <c r="D17" s="262" t="s">
        <v>3</v>
      </c>
      <c r="E17" s="130">
        <f>E15/E16</f>
        <v>0.20212672185624364</v>
      </c>
      <c r="F17" s="131">
        <f t="shared" ref="F17:J17" si="3">F15/F16</f>
        <v>12.199197311748922</v>
      </c>
      <c r="G17" s="132">
        <f t="shared" si="3"/>
        <v>0.19883229848841277</v>
      </c>
      <c r="H17" s="130">
        <f t="shared" si="3"/>
        <v>3.8227761000038225E-2</v>
      </c>
      <c r="I17" s="131">
        <f t="shared" si="3"/>
        <v>2.3072060682680151</v>
      </c>
      <c r="J17" s="133">
        <f t="shared" si="3"/>
        <v>3.7604694302167625E-2</v>
      </c>
    </row>
    <row r="18" spans="4:10" x14ac:dyDescent="0.25">
      <c r="D18" s="260" t="s">
        <v>4</v>
      </c>
      <c r="E18" s="123">
        <f>$B$2*$B$3*$F4</f>
        <v>2.2536585365853655E-6</v>
      </c>
      <c r="F18" s="134"/>
      <c r="G18" s="124">
        <f>1</f>
        <v>1</v>
      </c>
      <c r="H18" s="125">
        <f>$B$2</f>
        <v>9.9999999999999995E-7</v>
      </c>
      <c r="I18" s="134"/>
      <c r="J18" s="126">
        <f>1</f>
        <v>1</v>
      </c>
    </row>
    <row r="19" spans="4:10" x14ac:dyDescent="0.25">
      <c r="D19" s="261" t="s">
        <v>5</v>
      </c>
      <c r="E19" s="127">
        <f>$G4*$H4*$B$4</f>
        <v>1.9633569310439622E-7</v>
      </c>
      <c r="F19" s="135"/>
      <c r="G19" s="128">
        <f>(1/E20)</f>
        <v>8.7118651702167163E-2</v>
      </c>
      <c r="H19" s="127">
        <f>$H4*$B$4</f>
        <v>2.1937300000000001E-7</v>
      </c>
      <c r="I19" s="135"/>
      <c r="J19" s="129">
        <f>(1/H20)</f>
        <v>0.21937300000000004</v>
      </c>
    </row>
    <row r="20" spans="4:10" ht="15.75" thickBot="1" x14ac:dyDescent="0.3">
      <c r="D20" s="262" t="s">
        <v>2</v>
      </c>
      <c r="E20" s="130">
        <f>E18/E19</f>
        <v>11.478598215898742</v>
      </c>
      <c r="F20" s="136"/>
      <c r="G20" s="132">
        <f t="shared" ref="G20:H20" si="4">G18/G19</f>
        <v>11.478598215898742</v>
      </c>
      <c r="H20" s="130">
        <f t="shared" si="4"/>
        <v>4.5584461168876746</v>
      </c>
      <c r="I20" s="136"/>
      <c r="J20" s="133">
        <f t="shared" ref="J20" si="5">J18/J19</f>
        <v>4.5584461168876746</v>
      </c>
    </row>
    <row r="21" spans="4:10" x14ac:dyDescent="0.25">
      <c r="D21" s="260" t="s">
        <v>5</v>
      </c>
      <c r="E21" s="123">
        <f>$B$2*$B$3*$F6</f>
        <v>3.1607753705815275E-7</v>
      </c>
      <c r="F21" s="123">
        <f>$B$2*$B$3*$F6</f>
        <v>3.1607753705815275E-7</v>
      </c>
      <c r="G21" s="124">
        <f>1</f>
        <v>1</v>
      </c>
      <c r="H21" s="125">
        <f>$B$2</f>
        <v>9.9999999999999995E-7</v>
      </c>
      <c r="I21" s="125">
        <f>$B$2</f>
        <v>9.9999999999999995E-7</v>
      </c>
      <c r="J21" s="126">
        <f>1</f>
        <v>1</v>
      </c>
    </row>
    <row r="22" spans="4:10" x14ac:dyDescent="0.25">
      <c r="D22" s="261" t="s">
        <v>4</v>
      </c>
      <c r="E22" s="127">
        <f>$G6*$H6*$B$4</f>
        <v>3.6638262784591587E-3</v>
      </c>
      <c r="F22" s="127">
        <f>$G6*$I6*$B$13*(1/365)*$B$14*$B$15*(1/24)*$J6</f>
        <v>2.6609685565174373E-12</v>
      </c>
      <c r="G22" s="128">
        <f>(1/E23)+(1/F23)</f>
        <v>11591.542743659278</v>
      </c>
      <c r="H22" s="127">
        <f>$H6*$B$4</f>
        <v>1.35198E-2</v>
      </c>
      <c r="I22" s="127">
        <f>$I6*$B$13*(1/365)*$B$14*$B$15*(1/24)*$J6</f>
        <v>9.8191780821917824E-12</v>
      </c>
      <c r="J22" s="129">
        <f>(1/H23)+(1/I23)</f>
        <v>13519.800009819177</v>
      </c>
    </row>
    <row r="23" spans="4:10" ht="15.75" thickBot="1" x14ac:dyDescent="0.3">
      <c r="D23" s="262" t="s">
        <v>5</v>
      </c>
      <c r="E23" s="130">
        <f>E21/E22</f>
        <v>8.6269793662564377E-5</v>
      </c>
      <c r="F23" s="131">
        <f t="shared" ref="F23:J23" si="6">F21/F22</f>
        <v>118782.89064483409</v>
      </c>
      <c r="G23" s="132">
        <f t="shared" si="6"/>
        <v>8.6269793599908238E-5</v>
      </c>
      <c r="H23" s="130">
        <f t="shared" si="6"/>
        <v>7.3965591206970519E-5</v>
      </c>
      <c r="I23" s="131">
        <f t="shared" si="6"/>
        <v>101841.51785714284</v>
      </c>
      <c r="J23" s="133">
        <f t="shared" si="6"/>
        <v>7.3965591153250701E-5</v>
      </c>
    </row>
    <row r="24" spans="4:10" ht="15.75" thickBot="1" x14ac:dyDescent="0.3">
      <c r="D24" s="165"/>
      <c r="E24" s="166"/>
      <c r="F24" s="167"/>
      <c r="G24" s="168" t="s">
        <v>51</v>
      </c>
      <c r="H24" s="168" t="s">
        <v>52</v>
      </c>
      <c r="I24" s="169" t="s">
        <v>53</v>
      </c>
    </row>
    <row r="25" spans="4:10" x14ac:dyDescent="0.25">
      <c r="D25" s="170"/>
      <c r="E25" s="266" t="s">
        <v>2</v>
      </c>
      <c r="F25" s="137" t="s">
        <v>57</v>
      </c>
      <c r="G25" s="138">
        <v>1.06E-4</v>
      </c>
      <c r="H25" s="138">
        <v>1.06E-4</v>
      </c>
      <c r="I25" s="139">
        <f>(G25-H25)/((1/2)*(G25+H25))</f>
        <v>0</v>
      </c>
    </row>
    <row r="26" spans="4:10" x14ac:dyDescent="0.25">
      <c r="D26" s="170"/>
      <c r="E26" s="267"/>
      <c r="F26" s="140" t="s">
        <v>170</v>
      </c>
      <c r="G26" s="89">
        <v>463</v>
      </c>
      <c r="H26" s="89">
        <v>464</v>
      </c>
      <c r="I26" s="141">
        <f t="shared" ref="I26:I48" si="7">(G26-H26)/((1/2)*(G26+H26))</f>
        <v>-2.1574973031283709E-3</v>
      </c>
    </row>
    <row r="27" spans="4:10" ht="15.75" thickBot="1" x14ac:dyDescent="0.3">
      <c r="E27" s="268"/>
      <c r="F27" s="142" t="s">
        <v>61</v>
      </c>
      <c r="G27" s="143">
        <v>1.06E-4</v>
      </c>
      <c r="H27" s="143">
        <v>1.06E-4</v>
      </c>
      <c r="I27" s="144">
        <f t="shared" si="7"/>
        <v>0</v>
      </c>
    </row>
    <row r="28" spans="4:10" x14ac:dyDescent="0.25">
      <c r="E28" s="268"/>
      <c r="F28" s="145" t="s">
        <v>57</v>
      </c>
      <c r="G28" s="146">
        <v>1.02E-4</v>
      </c>
      <c r="H28" s="146">
        <v>1.02E-4</v>
      </c>
      <c r="I28" s="147">
        <f t="shared" si="7"/>
        <v>0</v>
      </c>
    </row>
    <row r="29" spans="4:10" x14ac:dyDescent="0.25">
      <c r="E29" s="268"/>
      <c r="F29" s="148" t="s">
        <v>170</v>
      </c>
      <c r="G29" s="89">
        <v>449</v>
      </c>
      <c r="H29" s="89">
        <v>449</v>
      </c>
      <c r="I29" s="141">
        <f t="shared" si="7"/>
        <v>0</v>
      </c>
    </row>
    <row r="30" spans="4:10" ht="15.75" thickBot="1" x14ac:dyDescent="0.3">
      <c r="E30" s="269"/>
      <c r="F30" s="149" t="s">
        <v>61</v>
      </c>
      <c r="G30" s="90">
        <v>1.02E-4</v>
      </c>
      <c r="H30" s="90">
        <v>1.02E-4</v>
      </c>
      <c r="I30" s="150">
        <f t="shared" si="7"/>
        <v>0</v>
      </c>
    </row>
    <row r="31" spans="4:10" x14ac:dyDescent="0.25">
      <c r="E31" s="270" t="s">
        <v>3</v>
      </c>
      <c r="F31" s="137" t="s">
        <v>57</v>
      </c>
      <c r="G31" s="138">
        <v>0.20200000000000001</v>
      </c>
      <c r="H31" s="138">
        <v>0.20300000000000001</v>
      </c>
      <c r="I31" s="139">
        <f t="shared" si="7"/>
        <v>-4.9382716049382758E-3</v>
      </c>
    </row>
    <row r="32" spans="4:10" x14ac:dyDescent="0.25">
      <c r="E32" s="271"/>
      <c r="F32" s="140" t="s">
        <v>170</v>
      </c>
      <c r="G32" s="89">
        <v>12.2</v>
      </c>
      <c r="H32" s="89">
        <v>12.3</v>
      </c>
      <c r="I32" s="141">
        <f t="shared" si="7"/>
        <v>-8.1632653061225642E-3</v>
      </c>
    </row>
    <row r="33" spans="5:9" ht="15.75" thickBot="1" x14ac:dyDescent="0.3">
      <c r="E33" s="271"/>
      <c r="F33" s="142" t="s">
        <v>61</v>
      </c>
      <c r="G33" s="143">
        <v>0.19900000000000001</v>
      </c>
      <c r="H33" s="143">
        <v>0.2</v>
      </c>
      <c r="I33" s="144">
        <f t="shared" si="7"/>
        <v>-5.0125313283208061E-3</v>
      </c>
    </row>
    <row r="34" spans="5:9" x14ac:dyDescent="0.25">
      <c r="E34" s="271"/>
      <c r="F34" s="145" t="s">
        <v>57</v>
      </c>
      <c r="G34" s="146">
        <v>3.8199999999999998E-2</v>
      </c>
      <c r="H34" s="146">
        <v>3.8399999999999997E-2</v>
      </c>
      <c r="I34" s="147">
        <f t="shared" si="7"/>
        <v>-5.2219321148824745E-3</v>
      </c>
    </row>
    <row r="35" spans="5:9" x14ac:dyDescent="0.25">
      <c r="E35" s="271"/>
      <c r="F35" s="148" t="s">
        <v>170</v>
      </c>
      <c r="G35" s="89">
        <v>2.31</v>
      </c>
      <c r="H35" s="89">
        <v>2.3199999999999998</v>
      </c>
      <c r="I35" s="141">
        <f t="shared" si="7"/>
        <v>-4.3196544276456967E-3</v>
      </c>
    </row>
    <row r="36" spans="5:9" ht="15.75" thickBot="1" x14ac:dyDescent="0.3">
      <c r="E36" s="272"/>
      <c r="F36" s="149" t="s">
        <v>61</v>
      </c>
      <c r="G36" s="90">
        <v>3.7600000000000001E-2</v>
      </c>
      <c r="H36" s="90">
        <v>3.7699999999999997E-2</v>
      </c>
      <c r="I36" s="150">
        <f t="shared" si="7"/>
        <v>-2.6560424966798383E-3</v>
      </c>
    </row>
    <row r="37" spans="5:9" x14ac:dyDescent="0.25">
      <c r="E37" s="270" t="s">
        <v>4</v>
      </c>
      <c r="F37" s="137" t="s">
        <v>57</v>
      </c>
      <c r="G37" s="138">
        <v>11.5</v>
      </c>
      <c r="H37" s="138">
        <v>11.5</v>
      </c>
      <c r="I37" s="139">
        <f t="shared" si="7"/>
        <v>0</v>
      </c>
    </row>
    <row r="38" spans="5:9" x14ac:dyDescent="0.25">
      <c r="E38" s="271"/>
      <c r="F38" s="140" t="s">
        <v>170</v>
      </c>
      <c r="G38" s="151"/>
      <c r="H38" s="151"/>
      <c r="I38" s="152"/>
    </row>
    <row r="39" spans="5:9" ht="15.75" thickBot="1" x14ac:dyDescent="0.3">
      <c r="E39" s="271"/>
      <c r="F39" s="142" t="s">
        <v>61</v>
      </c>
      <c r="G39" s="143">
        <v>11.5</v>
      </c>
      <c r="H39" s="143">
        <v>11.5</v>
      </c>
      <c r="I39" s="144">
        <f t="shared" si="7"/>
        <v>0</v>
      </c>
    </row>
    <row r="40" spans="5:9" x14ac:dyDescent="0.25">
      <c r="E40" s="271"/>
      <c r="F40" s="145" t="s">
        <v>57</v>
      </c>
      <c r="G40" s="146">
        <v>4.5599999999999996</v>
      </c>
      <c r="H40" s="146">
        <v>4.5599999999999996</v>
      </c>
      <c r="I40" s="147">
        <f t="shared" si="7"/>
        <v>0</v>
      </c>
    </row>
    <row r="41" spans="5:9" x14ac:dyDescent="0.25">
      <c r="E41" s="271"/>
      <c r="F41" s="148" t="s">
        <v>170</v>
      </c>
      <c r="G41" s="151"/>
      <c r="H41" s="151"/>
      <c r="I41" s="152"/>
    </row>
    <row r="42" spans="5:9" ht="15.75" thickBot="1" x14ac:dyDescent="0.3">
      <c r="E42" s="272"/>
      <c r="F42" s="149" t="s">
        <v>61</v>
      </c>
      <c r="G42" s="90">
        <v>4.5599999999999996</v>
      </c>
      <c r="H42" s="90">
        <v>4.5599999999999996</v>
      </c>
      <c r="I42" s="150">
        <f t="shared" si="7"/>
        <v>0</v>
      </c>
    </row>
    <row r="43" spans="5:9" x14ac:dyDescent="0.25">
      <c r="E43" s="270" t="s">
        <v>5</v>
      </c>
      <c r="F43" s="137" t="s">
        <v>57</v>
      </c>
      <c r="G43" s="138">
        <v>8.6299999999999997E-5</v>
      </c>
      <c r="H43" s="138">
        <v>8.6299999999999997E-5</v>
      </c>
      <c r="I43" s="139">
        <f t="shared" si="7"/>
        <v>0</v>
      </c>
    </row>
    <row r="44" spans="5:9" x14ac:dyDescent="0.25">
      <c r="E44" s="271"/>
      <c r="F44" s="140" t="s">
        <v>170</v>
      </c>
      <c r="G44" s="89">
        <v>119000</v>
      </c>
      <c r="H44" s="89">
        <v>119000</v>
      </c>
      <c r="I44" s="141">
        <f t="shared" si="7"/>
        <v>0</v>
      </c>
    </row>
    <row r="45" spans="5:9" ht="15.75" thickBot="1" x14ac:dyDescent="0.3">
      <c r="E45" s="271"/>
      <c r="F45" s="142" t="s">
        <v>61</v>
      </c>
      <c r="G45" s="143">
        <v>8.6299999999999997E-5</v>
      </c>
      <c r="H45" s="143">
        <v>8.6299999999999997E-5</v>
      </c>
      <c r="I45" s="144">
        <f t="shared" si="7"/>
        <v>0</v>
      </c>
    </row>
    <row r="46" spans="5:9" x14ac:dyDescent="0.25">
      <c r="E46" s="271"/>
      <c r="F46" s="145" t="s">
        <v>57</v>
      </c>
      <c r="G46" s="146">
        <v>7.3999999999999996E-5</v>
      </c>
      <c r="H46" s="146">
        <v>7.3999999999999996E-5</v>
      </c>
      <c r="I46" s="147">
        <f t="shared" si="7"/>
        <v>0</v>
      </c>
    </row>
    <row r="47" spans="5:9" x14ac:dyDescent="0.25">
      <c r="E47" s="271"/>
      <c r="F47" s="148" t="s">
        <v>170</v>
      </c>
      <c r="G47" s="89">
        <v>102000</v>
      </c>
      <c r="H47" s="89">
        <v>102000</v>
      </c>
      <c r="I47" s="141">
        <f t="shared" si="7"/>
        <v>0</v>
      </c>
    </row>
    <row r="48" spans="5:9" ht="15.75" thickBot="1" x14ac:dyDescent="0.3">
      <c r="E48" s="272"/>
      <c r="F48" s="149" t="s">
        <v>61</v>
      </c>
      <c r="G48" s="90">
        <v>7.3999999999999996E-5</v>
      </c>
      <c r="H48" s="90">
        <v>7.3999999999999996E-5</v>
      </c>
      <c r="I48" s="150">
        <f t="shared" si="7"/>
        <v>0</v>
      </c>
    </row>
  </sheetData>
  <mergeCells count="11">
    <mergeCell ref="D21:D23"/>
    <mergeCell ref="E25:E30"/>
    <mergeCell ref="E31:E36"/>
    <mergeCell ref="E37:E42"/>
    <mergeCell ref="E43:E48"/>
    <mergeCell ref="D9:J9"/>
    <mergeCell ref="H10:J10"/>
    <mergeCell ref="D18:D20"/>
    <mergeCell ref="E10:G10"/>
    <mergeCell ref="D12:D14"/>
    <mergeCell ref="D15:D17"/>
  </mergeCells>
  <conditionalFormatting sqref="I25:I48">
    <cfRule type="cellIs" dxfId="9" priority="1" operator="lessThan">
      <formula>-0.01</formula>
    </cfRule>
    <cfRule type="cellIs" dxfId="8" priority="2" operator="notEqual">
      <formula>0</formula>
    </cfRule>
  </conditionalFormatting>
  <pageMargins left="0.7" right="0.7" top="0.75" bottom="0.75" header="0.3" footer="0.3"/>
  <pageSetup scale="62" orientation="landscape" horizontalDpi="4294967293" verticalDpi="0" r:id="rId1"/>
  <ignoredErrors>
    <ignoredError sqref="B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66"/>
  <sheetViews>
    <sheetView zoomScale="55" zoomScaleNormal="55" workbookViewId="0">
      <selection activeCell="T23" sqref="E23:X38"/>
    </sheetView>
  </sheetViews>
  <sheetFormatPr defaultRowHeight="15" x14ac:dyDescent="0.25"/>
  <cols>
    <col min="1" max="1" width="9.7109375" customWidth="1"/>
    <col min="2" max="2" width="9" customWidth="1"/>
    <col min="3" max="3" width="7.7109375" customWidth="1"/>
    <col min="4" max="4" width="10.28515625" customWidth="1"/>
    <col min="5" max="5" width="9.7109375" customWidth="1"/>
    <col min="6" max="6" width="11.42578125" customWidth="1"/>
    <col min="7" max="7" width="10.42578125" customWidth="1"/>
    <col min="8" max="9" width="9.7109375" customWidth="1"/>
    <col min="10" max="10" width="9.140625" customWidth="1"/>
    <col min="11" max="11" width="9.7109375" customWidth="1"/>
    <col min="12" max="12" width="10.42578125" customWidth="1"/>
    <col min="13" max="13" width="9.7109375" bestFit="1" customWidth="1"/>
    <col min="14" max="14" width="14.28515625" bestFit="1" customWidth="1"/>
    <col min="15" max="15" width="9.7109375" customWidth="1"/>
    <col min="16" max="16" width="9.140625" customWidth="1"/>
    <col min="17" max="17" width="10.42578125" bestFit="1" customWidth="1"/>
    <col min="18" max="18" width="13.28515625" bestFit="1" customWidth="1"/>
    <col min="19" max="19" width="8.7109375" bestFit="1" customWidth="1"/>
    <col min="20" max="20" width="12.5703125" bestFit="1" customWidth="1"/>
    <col min="21" max="21" width="9.140625" bestFit="1" customWidth="1"/>
    <col min="22" max="22" width="13.5703125" bestFit="1" customWidth="1"/>
    <col min="23" max="23" width="9.7109375" bestFit="1" customWidth="1"/>
    <col min="24" max="24" width="14.28515625" bestFit="1" customWidth="1"/>
    <col min="25" max="25" width="8.7109375" bestFit="1" customWidth="1"/>
    <col min="26" max="26" width="14.7109375" bestFit="1" customWidth="1"/>
    <col min="27" max="27" width="8.7109375" bestFit="1" customWidth="1"/>
    <col min="28" max="28" width="12.7109375" bestFit="1" customWidth="1"/>
    <col min="29" max="29" width="8.7109375" customWidth="1"/>
    <col min="30" max="30" width="12.7109375" bestFit="1" customWidth="1"/>
    <col min="31" max="32" width="8.7109375" bestFit="1" customWidth="1"/>
  </cols>
  <sheetData>
    <row r="1" spans="1:29" x14ac:dyDescent="0.25">
      <c r="A1" s="101" t="s">
        <v>7</v>
      </c>
      <c r="B1" s="102" t="s">
        <v>8</v>
      </c>
      <c r="C1" s="112"/>
      <c r="D1" s="210" t="s">
        <v>205</v>
      </c>
      <c r="E1" s="113" t="s">
        <v>0</v>
      </c>
      <c r="F1" s="114" t="s">
        <v>1</v>
      </c>
      <c r="G1" s="88" t="s">
        <v>162</v>
      </c>
      <c r="H1" s="113" t="s">
        <v>69</v>
      </c>
      <c r="I1" s="113" t="s">
        <v>70</v>
      </c>
      <c r="J1" s="113" t="s">
        <v>71</v>
      </c>
      <c r="K1" s="113" t="s">
        <v>100</v>
      </c>
      <c r="L1" s="113" t="s">
        <v>149</v>
      </c>
      <c r="M1" s="114" t="s">
        <v>161</v>
      </c>
      <c r="N1" s="113" t="s">
        <v>120</v>
      </c>
      <c r="O1" s="113" t="s">
        <v>66</v>
      </c>
      <c r="P1" s="113" t="s">
        <v>67</v>
      </c>
      <c r="Q1" s="113" t="s">
        <v>68</v>
      </c>
      <c r="R1" s="113" t="s">
        <v>113</v>
      </c>
      <c r="S1" s="113" t="s">
        <v>107</v>
      </c>
      <c r="T1" s="113" t="s">
        <v>114</v>
      </c>
      <c r="U1" s="113" t="s">
        <v>108</v>
      </c>
      <c r="V1" s="113" t="s">
        <v>115</v>
      </c>
      <c r="W1" s="113" t="s">
        <v>109</v>
      </c>
      <c r="X1" s="113" t="s">
        <v>116</v>
      </c>
      <c r="Y1" s="113" t="s">
        <v>110</v>
      </c>
      <c r="Z1" s="113" t="s">
        <v>117</v>
      </c>
      <c r="AA1" s="113" t="s">
        <v>111</v>
      </c>
      <c r="AB1" s="113" t="s">
        <v>118</v>
      </c>
      <c r="AC1" s="115" t="s">
        <v>112</v>
      </c>
    </row>
    <row r="2" spans="1:29" x14ac:dyDescent="0.25">
      <c r="A2" s="103" t="s">
        <v>9</v>
      </c>
      <c r="B2" s="17">
        <v>9.9999999999999995E-7</v>
      </c>
      <c r="C2" s="83" t="s">
        <v>2</v>
      </c>
      <c r="D2" s="211" t="s">
        <v>185</v>
      </c>
      <c r="E2" s="5">
        <v>432</v>
      </c>
      <c r="F2" s="5">
        <f>0.693/E2</f>
        <v>1.6041666666666665E-3</v>
      </c>
      <c r="G2" s="89">
        <f>(1-EXP(-(F2)*$B$3))</f>
        <v>3.9310637868486542E-2</v>
      </c>
      <c r="H2" s="5">
        <f>'Isotope Specific Factors'!C11</f>
        <v>1.04E-10</v>
      </c>
      <c r="I2" s="5">
        <f>'Isotope Specific Factors'!C19</f>
        <v>3.77E-8</v>
      </c>
      <c r="J2" s="5">
        <f>'Isotope Specific Factors'!H3</f>
        <v>1.3199999999999999E-13</v>
      </c>
      <c r="K2" s="5">
        <v>1.91E-5</v>
      </c>
      <c r="L2" s="5">
        <v>2.1999999999999999E-5</v>
      </c>
      <c r="M2" s="5">
        <v>4</v>
      </c>
      <c r="N2" s="5">
        <f>'Direct Consump.'!F11</f>
        <v>1.9576878656985403E-3</v>
      </c>
      <c r="O2" s="5" t="e">
        <f>'Direct to Water'!E26</f>
        <v>#DIV/0!</v>
      </c>
      <c r="P2" s="5" t="e">
        <f>'Direct to Water'!F26</f>
        <v>#DIV/0!</v>
      </c>
      <c r="Q2" s="5" t="e">
        <f>'Direct to Water'!G26</f>
        <v>#DIV/0!</v>
      </c>
      <c r="R2" s="5">
        <f>'Direct Consump.'!H11</f>
        <v>1.1354151776169701E-2</v>
      </c>
      <c r="S2" s="5">
        <v>3.0000000000000001E-3</v>
      </c>
      <c r="T2" s="5">
        <f>'Direct Consump.'!G11</f>
        <v>5.6668159305982777E-3</v>
      </c>
      <c r="U2" s="5">
        <v>6.0000000000000001E-3</v>
      </c>
      <c r="V2" s="5">
        <f>'Direct Consump.'!L11</f>
        <v>3.8618346773290372E-3</v>
      </c>
      <c r="W2" s="5">
        <v>240</v>
      </c>
      <c r="X2" s="5">
        <f>'Direct Consump.'!I11</f>
        <v>3.3575777306105257E-3</v>
      </c>
      <c r="Y2" s="5">
        <v>5.0000000000000001E-4</v>
      </c>
      <c r="Z2" s="5">
        <f>'Direct Consump.'!J11</f>
        <v>1.2362420782534805E-3</v>
      </c>
      <c r="AA2" s="5">
        <v>4.2E-7</v>
      </c>
      <c r="AB2" s="5">
        <f>'Direct Consump.'!K11</f>
        <v>6.2050991270790638E-3</v>
      </c>
      <c r="AC2" s="63">
        <v>1.7000000000000001E-4</v>
      </c>
    </row>
    <row r="3" spans="1:29" x14ac:dyDescent="0.25">
      <c r="A3" s="103" t="s">
        <v>121</v>
      </c>
      <c r="B3" s="104">
        <v>25</v>
      </c>
      <c r="C3" s="83" t="s">
        <v>3</v>
      </c>
      <c r="D3" s="211" t="s">
        <v>185</v>
      </c>
      <c r="E3" s="5">
        <v>5.27</v>
      </c>
      <c r="F3" s="5">
        <f t="shared" ref="F3:F6" si="0">0.693/E3</f>
        <v>0.13149905123339659</v>
      </c>
      <c r="G3" s="89">
        <f t="shared" ref="G3:G6" si="1">(1-EXP(-(F3)*$B$3))</f>
        <v>0.9626520136123895</v>
      </c>
      <c r="H3" s="5">
        <f>'Isotope Specific Factors'!C12</f>
        <v>1.58E-11</v>
      </c>
      <c r="I3" s="5">
        <f>'Isotope Specific Factors'!C24</f>
        <v>1.01E-10</v>
      </c>
      <c r="J3" s="5">
        <f>'Isotope Specific Factors'!H4</f>
        <v>2.4400000000000001E-11</v>
      </c>
      <c r="K3" s="5">
        <v>7.4000000000000003E-3</v>
      </c>
      <c r="L3" s="5">
        <v>8.5000000000000006E-3</v>
      </c>
      <c r="M3" s="5">
        <v>480</v>
      </c>
      <c r="N3" s="5">
        <f>'Direct Consump.'!F14</f>
        <v>1.1763684932897058E-2</v>
      </c>
      <c r="O3" s="5" t="e">
        <f>'Direct to Water'!E29</f>
        <v>#DIV/0!</v>
      </c>
      <c r="P3" s="5" t="e">
        <f>'Direct to Water'!F29</f>
        <v>#DIV/0!</v>
      </c>
      <c r="Q3" s="5" t="e">
        <f>'Direct to Water'!G29</f>
        <v>#DIV/0!</v>
      </c>
      <c r="R3" s="5">
        <f>'Direct Consump.'!H14</f>
        <v>6.8226741614652017E-2</v>
      </c>
      <c r="S3" s="5">
        <v>3.3000000000000002E-2</v>
      </c>
      <c r="T3" s="5">
        <f>'Direct Consump.'!G14</f>
        <v>3.4051719044850645E-2</v>
      </c>
      <c r="U3" s="5">
        <v>0.97</v>
      </c>
      <c r="V3" s="5">
        <f>'Direct Consump.'!L14</f>
        <v>2.3205643352560135E-2</v>
      </c>
      <c r="W3" s="5">
        <v>76</v>
      </c>
      <c r="X3" s="5">
        <f>'Direct Consump.'!I14</f>
        <v>2.0175579188421992E-2</v>
      </c>
      <c r="Y3" s="5">
        <v>4.2999999999999999E-4</v>
      </c>
      <c r="Z3" s="5">
        <f>'Direct Consump.'!J14</f>
        <v>7.4285398424200179E-3</v>
      </c>
      <c r="AA3" s="5">
        <v>1.1E-4</v>
      </c>
      <c r="AB3" s="5">
        <f>'Direct Consump.'!K14</f>
        <v>3.7286245875721734E-2</v>
      </c>
      <c r="AC3" s="63">
        <v>2E-3</v>
      </c>
    </row>
    <row r="4" spans="1:29" x14ac:dyDescent="0.25">
      <c r="A4" s="105" t="s">
        <v>122</v>
      </c>
      <c r="B4" s="104">
        <f>($B$5*$B$6*$B$7)+($B$8*$B$9*$B$10)</f>
        <v>1610000</v>
      </c>
      <c r="C4" s="180" t="s">
        <v>4</v>
      </c>
      <c r="D4" s="211" t="s">
        <v>185</v>
      </c>
      <c r="E4" s="5">
        <v>11.3</v>
      </c>
      <c r="F4" s="5">
        <f t="shared" ref="F4" si="2">0.693/E4</f>
        <v>6.1327433628318578E-2</v>
      </c>
      <c r="G4" s="89">
        <f t="shared" ref="G4" si="3">(1-EXP(-(F4)*$B$3))</f>
        <v>0.78415308312052145</v>
      </c>
      <c r="H4" s="5">
        <f>'Isotope Specific Factors'!C14</f>
        <v>1.12E-13</v>
      </c>
      <c r="I4" s="5">
        <f>'Isotope Specific Factors'!C27</f>
        <v>8.4700000000000003E-13</v>
      </c>
      <c r="J4" s="5">
        <f>'Isotope Specific Factors'!H5</f>
        <v>0</v>
      </c>
      <c r="K4" s="5">
        <v>4.8</v>
      </c>
      <c r="L4" s="5">
        <v>24</v>
      </c>
      <c r="M4" s="5">
        <v>0</v>
      </c>
      <c r="N4" s="5">
        <f>'Direct Consump.'!F17</f>
        <v>1.8217373194694753</v>
      </c>
      <c r="O4" s="5">
        <f>'Direct to Water'!E31</f>
        <v>0</v>
      </c>
      <c r="P4" s="5">
        <f>'Direct to Water'!F31</f>
        <v>0</v>
      </c>
      <c r="Q4" s="5">
        <f>'Direct to Water'!G31</f>
        <v>0</v>
      </c>
      <c r="R4" s="5">
        <f>'Direct Consump.'!H17</f>
        <v>10.565669013935695</v>
      </c>
      <c r="S4" s="37"/>
      <c r="T4" s="5">
        <f>'Direct Consump.'!G17</f>
        <v>5.2732870465289539</v>
      </c>
      <c r="U4" s="38"/>
      <c r="V4" s="5">
        <f>'Direct Consump.'!L17</f>
        <v>3.5936517136256323</v>
      </c>
      <c r="W4" s="5">
        <v>1</v>
      </c>
      <c r="X4" s="5">
        <f>'Direct Consump.'!I17</f>
        <v>3.1244126104292396</v>
      </c>
      <c r="Y4" s="5">
        <v>1.2E-2</v>
      </c>
      <c r="Z4" s="5">
        <f>'Direct Consump.'!J17</f>
        <v>1.1503919339303224</v>
      </c>
      <c r="AA4" s="5">
        <v>0.01</v>
      </c>
      <c r="AB4" s="5">
        <f>'Direct Consump.'!K17</f>
        <v>5.7741894654763524</v>
      </c>
      <c r="AC4" s="116"/>
    </row>
    <row r="5" spans="1:29" x14ac:dyDescent="0.25">
      <c r="A5" s="103" t="s">
        <v>13</v>
      </c>
      <c r="B5" s="104">
        <v>350</v>
      </c>
      <c r="C5" s="83" t="s">
        <v>4</v>
      </c>
      <c r="D5" s="211" t="s">
        <v>158</v>
      </c>
      <c r="E5" s="5">
        <v>11.3</v>
      </c>
      <c r="F5" s="5">
        <f t="shared" si="0"/>
        <v>6.1327433628318578E-2</v>
      </c>
      <c r="G5" s="89">
        <f t="shared" si="1"/>
        <v>0.78415308312052145</v>
      </c>
      <c r="H5" s="5">
        <f>'Isotope Specific Factors'!C13</f>
        <v>5.0700000000000001E-14</v>
      </c>
      <c r="I5" s="5">
        <f>'Isotope Specific Factors'!C27</f>
        <v>8.4700000000000003E-13</v>
      </c>
      <c r="J5" s="5">
        <f>'Isotope Specific Factors'!H6</f>
        <v>0</v>
      </c>
      <c r="K5" s="5">
        <v>4.8</v>
      </c>
      <c r="L5" s="5">
        <v>24</v>
      </c>
      <c r="M5" s="5">
        <v>0</v>
      </c>
      <c r="N5" s="5">
        <f>'Direct Consump.'!F20</f>
        <v>4.0296493702550604</v>
      </c>
      <c r="O5" s="5" t="e">
        <f>'Direct to Water'!E32</f>
        <v>#DIV/0!</v>
      </c>
      <c r="P5" s="5" t="e">
        <f>'Direct to Water'!F32</f>
        <v>#DIV/0!</v>
      </c>
      <c r="Q5" s="5" t="e">
        <f>'Direct to Water'!G32</f>
        <v>#DIV/0!</v>
      </c>
      <c r="R5" s="5">
        <f>'Direct Consump.'!H20</f>
        <v>23.371065099949927</v>
      </c>
      <c r="S5" s="37"/>
      <c r="T5" s="5">
        <f>'Direct Consump.'!G20</f>
        <v>11.664413743474183</v>
      </c>
      <c r="U5" s="38"/>
      <c r="V5" s="5">
        <f>'Direct Consump.'!L20</f>
        <v>7.9490913481119989</v>
      </c>
      <c r="W5" s="5">
        <v>1</v>
      </c>
      <c r="X5" s="5">
        <f>'Direct Consump.'!I20</f>
        <v>6.9111431014102989</v>
      </c>
      <c r="Y5" s="5">
        <v>1.2E-2</v>
      </c>
      <c r="Z5" s="5">
        <f>'Direct Consump.'!J20</f>
        <v>2.5446457524726025</v>
      </c>
      <c r="AA5" s="5">
        <v>0.01</v>
      </c>
      <c r="AB5" s="5">
        <f>'Direct Consump.'!K20</f>
        <v>12.772400660961516</v>
      </c>
      <c r="AC5" s="116"/>
    </row>
    <row r="6" spans="1:29" ht="15.75" thickBot="1" x14ac:dyDescent="0.3">
      <c r="A6" s="103" t="s">
        <v>14</v>
      </c>
      <c r="B6" s="104">
        <v>6</v>
      </c>
      <c r="C6" s="84" t="s">
        <v>5</v>
      </c>
      <c r="D6" s="212" t="s">
        <v>185</v>
      </c>
      <c r="E6" s="20">
        <v>87.7</v>
      </c>
      <c r="F6" s="20">
        <f t="shared" si="0"/>
        <v>7.9019384264538192E-3</v>
      </c>
      <c r="G6" s="90">
        <f t="shared" si="1"/>
        <v>0.17925963395695022</v>
      </c>
      <c r="H6" s="20">
        <f>'Isotope Specific Factors'!C15</f>
        <v>1.3100000000000001E-10</v>
      </c>
      <c r="I6" s="20">
        <f>'Isotope Specific Factors'!C31</f>
        <v>5.2199999999999998E-8</v>
      </c>
      <c r="J6" s="20">
        <f>'Isotope Specific Factors'!H7</f>
        <v>5.9600000000000002E-16</v>
      </c>
      <c r="K6" s="20">
        <v>8.2700000000000004E-6</v>
      </c>
      <c r="L6" s="20">
        <v>9.5000000000000005E-6</v>
      </c>
      <c r="M6" s="20">
        <v>5</v>
      </c>
      <c r="N6" s="20">
        <f>'Direct Consump.'!F23</f>
        <v>1.5522495503171856E-3</v>
      </c>
      <c r="O6" s="20" t="e">
        <f>'Direct to Water'!E35</f>
        <v>#DIV/0!</v>
      </c>
      <c r="P6" s="20" t="e">
        <f>'Direct to Water'!F35</f>
        <v>#DIV/0!</v>
      </c>
      <c r="Q6" s="20" t="e">
        <f>'Direct to Water'!G35</f>
        <v>#DIV/0!</v>
      </c>
      <c r="R6" s="20">
        <f>'Direct Consump.'!H23</f>
        <v>9.0027002248919529E-3</v>
      </c>
      <c r="S6" s="20">
        <v>1.1999999999999999E-3</v>
      </c>
      <c r="T6" s="20">
        <f>'Direct Consump.'!G23</f>
        <v>4.4932149982258541E-3</v>
      </c>
      <c r="U6" s="20">
        <v>3.0000000000000001E-3</v>
      </c>
      <c r="V6" s="20">
        <f>'Direct Consump.'!L23</f>
        <v>3.0620464305449171E-3</v>
      </c>
      <c r="W6" s="20">
        <v>21000</v>
      </c>
      <c r="X6" s="20">
        <f>'Direct Consump.'!I23</f>
        <v>2.6622213958687009E-3</v>
      </c>
      <c r="Y6" s="20">
        <v>1.1000000000000001E-6</v>
      </c>
      <c r="Z6" s="20">
        <f>'Direct Consump.'!J23</f>
        <v>9.802156123429964E-4</v>
      </c>
      <c r="AA6" s="20">
        <v>1.0000000000000001E-5</v>
      </c>
      <c r="AB6" s="20">
        <f>'Direct Consump.'!K23</f>
        <v>4.9200194262047012E-3</v>
      </c>
      <c r="AC6" s="117">
        <v>8.0000000000000007E-5</v>
      </c>
    </row>
    <row r="7" spans="1:29" x14ac:dyDescent="0.25">
      <c r="A7" s="103" t="s">
        <v>123</v>
      </c>
      <c r="B7" s="104">
        <v>200</v>
      </c>
    </row>
    <row r="8" spans="1:29" x14ac:dyDescent="0.25">
      <c r="A8" s="103" t="s">
        <v>16</v>
      </c>
      <c r="B8" s="104">
        <v>350</v>
      </c>
      <c r="D8" s="1"/>
      <c r="E8" s="278" t="s">
        <v>44</v>
      </c>
      <c r="F8" s="278"/>
      <c r="G8" s="278" t="s">
        <v>50</v>
      </c>
      <c r="H8" s="278"/>
      <c r="I8" s="278" t="s">
        <v>47</v>
      </c>
      <c r="J8" s="278"/>
      <c r="K8" s="278" t="s">
        <v>48</v>
      </c>
      <c r="L8" s="278"/>
      <c r="M8" s="278" t="s">
        <v>49</v>
      </c>
      <c r="N8" s="278"/>
      <c r="O8" s="278" t="s">
        <v>45</v>
      </c>
      <c r="P8" s="278"/>
      <c r="Q8" s="278" t="s">
        <v>164</v>
      </c>
      <c r="R8" s="278"/>
      <c r="T8" s="6"/>
      <c r="U8" s="6"/>
      <c r="V8" s="6"/>
      <c r="W8" s="6"/>
      <c r="X8" s="6"/>
      <c r="Y8" s="6"/>
      <c r="Z8" s="6"/>
    </row>
    <row r="9" spans="1:29" ht="15.75" thickBot="1" x14ac:dyDescent="0.3">
      <c r="A9" s="103" t="s">
        <v>17</v>
      </c>
      <c r="B9" s="104">
        <v>34</v>
      </c>
      <c r="D9" s="13"/>
      <c r="E9" s="81" t="s">
        <v>159</v>
      </c>
      <c r="F9" s="81" t="s">
        <v>160</v>
      </c>
      <c r="G9" s="96" t="s">
        <v>159</v>
      </c>
      <c r="H9" s="96" t="s">
        <v>160</v>
      </c>
      <c r="I9" s="81" t="s">
        <v>159</v>
      </c>
      <c r="J9" s="81" t="s">
        <v>160</v>
      </c>
      <c r="K9" s="81" t="s">
        <v>159</v>
      </c>
      <c r="L9" s="81" t="s">
        <v>160</v>
      </c>
      <c r="M9" s="81" t="s">
        <v>159</v>
      </c>
      <c r="N9" s="81" t="s">
        <v>160</v>
      </c>
      <c r="O9" s="81" t="s">
        <v>159</v>
      </c>
      <c r="P9" s="81" t="s">
        <v>160</v>
      </c>
      <c r="Q9" s="81" t="s">
        <v>159</v>
      </c>
      <c r="R9" s="81" t="s">
        <v>160</v>
      </c>
      <c r="T9" s="178"/>
      <c r="U9" s="178"/>
      <c r="V9" s="178"/>
      <c r="W9" s="178"/>
      <c r="X9" s="178"/>
      <c r="Y9" s="178"/>
      <c r="Z9" s="178"/>
    </row>
    <row r="10" spans="1:29" x14ac:dyDescent="0.25">
      <c r="A10" s="103" t="s">
        <v>124</v>
      </c>
      <c r="B10" s="104">
        <v>100</v>
      </c>
      <c r="D10" s="273" t="s">
        <v>2</v>
      </c>
      <c r="E10" s="15" t="e">
        <f>-(O2+P2+Q2)</f>
        <v>#DIV/0!</v>
      </c>
      <c r="F10" s="15">
        <f>$N$2</f>
        <v>1.9576878656985403E-3</v>
      </c>
      <c r="G10" s="15">
        <f>-M2</f>
        <v>-4</v>
      </c>
      <c r="H10" s="15">
        <f>V2*M2</f>
        <v>1.5447338709316149E-2</v>
      </c>
      <c r="I10" s="15">
        <f>-$B$63</f>
        <v>-53</v>
      </c>
      <c r="J10" s="15">
        <f>X2</f>
        <v>3.3575777306105257E-3</v>
      </c>
      <c r="K10" s="15">
        <f>-$B$65</f>
        <v>-92</v>
      </c>
      <c r="L10" s="15">
        <f>Z2</f>
        <v>1.2362420782534805E-3</v>
      </c>
      <c r="M10" s="15">
        <f>-$B$66</f>
        <v>-11.4</v>
      </c>
      <c r="N10" s="15">
        <f>AB2</f>
        <v>6.2050991270790638E-3</v>
      </c>
      <c r="O10" s="15">
        <f>-$B$61</f>
        <v>-0.4</v>
      </c>
      <c r="P10" s="15">
        <f>T2</f>
        <v>5.6668159305982777E-3</v>
      </c>
      <c r="Q10" s="15">
        <f>-$B$61</f>
        <v>-0.4</v>
      </c>
      <c r="R10" s="62">
        <f>R2</f>
        <v>1.1354151776169701E-2</v>
      </c>
      <c r="T10" s="6"/>
      <c r="U10" s="6"/>
      <c r="V10" s="6"/>
      <c r="W10" s="6"/>
      <c r="X10" s="6"/>
      <c r="Y10" s="6"/>
      <c r="Z10" s="6"/>
    </row>
    <row r="11" spans="1:29" x14ac:dyDescent="0.25">
      <c r="A11" s="105" t="s">
        <v>75</v>
      </c>
      <c r="B11" s="104">
        <f>($B$5*$B$6*$B$12*(1/24)*$B$13)+($B$8*$B$9*$B$14*(1/24)*$B$15)</f>
        <v>259000</v>
      </c>
      <c r="D11" s="279"/>
      <c r="E11" s="5">
        <f>K2+$B$23</f>
        <v>0.2600191</v>
      </c>
      <c r="F11" s="5">
        <f>K2+$B$23</f>
        <v>0.2600191</v>
      </c>
      <c r="G11" s="1">
        <f>1000</f>
        <v>1000</v>
      </c>
      <c r="H11" s="5">
        <f>W2</f>
        <v>240</v>
      </c>
      <c r="I11" s="5">
        <f>(($B$30*$B$31*$B$32*($L$2+$B$24))+($B$33*$B$31))</f>
        <v>3.3327589400000002</v>
      </c>
      <c r="J11" s="5">
        <f>Y2*(($B$30*$B$31*$B$32*($L$2+$B$24))+($B$33*$B$31))</f>
        <v>1.66637947E-3</v>
      </c>
      <c r="K11" s="5">
        <f>(($B$35*$B$36*$B$37*($L$2+$B$24))+($B$38*$B$36))</f>
        <v>4.6353718000000006</v>
      </c>
      <c r="L11" s="5">
        <f>AA2*$B$64*(($B$35*$B$36*$B$37*($L$2+$B$24))+($B$38*$B$36))</f>
        <v>1.8901516077669907E-6</v>
      </c>
      <c r="M11" s="5">
        <f>(($B$39*$B$40*$B$41*($L$2+$B$24))+($B$42*$B$40))</f>
        <v>1.5451034000000003</v>
      </c>
      <c r="N11" s="5">
        <f>AC2*(($B$39*$B$40*$B$41*($L$2+$B$24))+($B$42*$B$40))</f>
        <v>2.6266757800000009E-4</v>
      </c>
      <c r="O11" s="5">
        <f>(($B$25*$B$26*$B$27*($L$2+$B$24))+($B$28*$B$26))</f>
        <v>7.2004399999999996E-2</v>
      </c>
      <c r="P11" s="5">
        <f>U2*(($B$25*$B$26*$B$27*($L$2+$B$24))+($B$28*$B$26))</f>
        <v>4.3202639999999999E-4</v>
      </c>
      <c r="Q11" s="5">
        <f>(($B$25*$B$26*$B$27*(L2+$B$24))+($B$28*$B$26))</f>
        <v>7.2004399999999996E-2</v>
      </c>
      <c r="R11" s="63">
        <f>S2*(($B$25*$B$26*$B$27*(L2+$B$24))+($B$28*$B$26))</f>
        <v>2.1601319999999999E-4</v>
      </c>
      <c r="T11" s="6"/>
      <c r="U11" s="6"/>
      <c r="V11" s="6"/>
      <c r="W11" s="6"/>
      <c r="X11" s="6"/>
      <c r="Y11" s="6"/>
      <c r="Z11" s="6"/>
    </row>
    <row r="12" spans="1:29" ht="15.75" thickBot="1" x14ac:dyDescent="0.3">
      <c r="A12" s="103" t="s">
        <v>79</v>
      </c>
      <c r="B12" s="104">
        <v>24</v>
      </c>
      <c r="D12" s="274"/>
      <c r="E12" s="45" t="e">
        <f>(E10/E11)</f>
        <v>#DIV/0!</v>
      </c>
      <c r="F12" s="45">
        <f>(F10/F11)</f>
        <v>7.5290156211545237E-3</v>
      </c>
      <c r="G12" s="45">
        <f t="shared" ref="G12:R12" si="4">(G10/G11)</f>
        <v>-4.0000000000000001E-3</v>
      </c>
      <c r="H12" s="45">
        <f t="shared" si="4"/>
        <v>6.4363911288817282E-5</v>
      </c>
      <c r="I12" s="45">
        <f t="shared" si="4"/>
        <v>-15.90274032840791</v>
      </c>
      <c r="J12" s="45">
        <f t="shared" si="4"/>
        <v>2.014893840843182</v>
      </c>
      <c r="K12" s="45">
        <f t="shared" si="4"/>
        <v>-19.847383116064172</v>
      </c>
      <c r="L12" s="45">
        <f t="shared" si="4"/>
        <v>654.04387308061848</v>
      </c>
      <c r="M12" s="45">
        <f t="shared" si="4"/>
        <v>-7.3781469900331578</v>
      </c>
      <c r="N12" s="45">
        <f t="shared" si="4"/>
        <v>23.62339187167996</v>
      </c>
      <c r="O12" s="45">
        <f t="shared" si="4"/>
        <v>-5.5552160701290481</v>
      </c>
      <c r="P12" s="45">
        <f t="shared" si="4"/>
        <v>13.116827885051187</v>
      </c>
      <c r="Q12" s="45">
        <f t="shared" si="4"/>
        <v>-5.5552160701290481</v>
      </c>
      <c r="R12" s="87">
        <f t="shared" si="4"/>
        <v>52.562305341385162</v>
      </c>
      <c r="T12" s="6"/>
      <c r="U12" s="6"/>
      <c r="V12" s="6"/>
      <c r="W12" s="6"/>
      <c r="X12" s="6"/>
      <c r="Y12" s="6"/>
      <c r="Z12" s="6"/>
    </row>
    <row r="13" spans="1:29" x14ac:dyDescent="0.25">
      <c r="A13" s="103" t="s">
        <v>77</v>
      </c>
      <c r="B13" s="104">
        <v>10</v>
      </c>
      <c r="D13" s="273" t="s">
        <v>3</v>
      </c>
      <c r="E13" s="15" t="e">
        <f>-(O3+P3+Q3)</f>
        <v>#DIV/0!</v>
      </c>
      <c r="F13" s="15">
        <f>$N$3</f>
        <v>1.1763684932897058E-2</v>
      </c>
      <c r="G13" s="15">
        <f>-M3</f>
        <v>-480</v>
      </c>
      <c r="H13" s="15">
        <f>V3*M3</f>
        <v>11.138708809228865</v>
      </c>
      <c r="I13" s="15">
        <f>-$B$63</f>
        <v>-53</v>
      </c>
      <c r="J13" s="15">
        <f>X3</f>
        <v>2.0175579188421992E-2</v>
      </c>
      <c r="K13" s="15">
        <f>-$B$65</f>
        <v>-92</v>
      </c>
      <c r="L13" s="15">
        <f>Z3</f>
        <v>7.4285398424200179E-3</v>
      </c>
      <c r="M13" s="15">
        <f>-$B$66</f>
        <v>-11.4</v>
      </c>
      <c r="N13" s="15">
        <f>AB3</f>
        <v>3.7286245875721734E-2</v>
      </c>
      <c r="O13" s="15">
        <f>-$B$61</f>
        <v>-0.4</v>
      </c>
      <c r="P13" s="15">
        <f>T3</f>
        <v>3.4051719044850645E-2</v>
      </c>
      <c r="Q13" s="15">
        <f>-$B$61</f>
        <v>-0.4</v>
      </c>
      <c r="R13" s="62">
        <f>R3</f>
        <v>6.8226741614652017E-2</v>
      </c>
      <c r="T13" s="6"/>
      <c r="U13" s="6"/>
      <c r="V13" s="6"/>
      <c r="W13" s="6"/>
      <c r="X13" s="6"/>
      <c r="Y13" s="6"/>
      <c r="Z13" s="6"/>
    </row>
    <row r="14" spans="1:29" x14ac:dyDescent="0.25">
      <c r="A14" s="103" t="s">
        <v>80</v>
      </c>
      <c r="B14" s="104">
        <v>24</v>
      </c>
      <c r="D14" s="279"/>
      <c r="E14" s="5">
        <f>K3+$B$23</f>
        <v>0.26740000000000003</v>
      </c>
      <c r="F14" s="5">
        <f>K3+$B$23</f>
        <v>0.26740000000000003</v>
      </c>
      <c r="G14" s="1">
        <f>1000</f>
        <v>1000</v>
      </c>
      <c r="H14" s="5">
        <f>W3</f>
        <v>76</v>
      </c>
      <c r="I14" s="5">
        <f>(($B$30*$B$31*$B$32*($L$3+$B$24))+($B$33*$B$31))</f>
        <v>3.4325450000000002</v>
      </c>
      <c r="J14" s="5">
        <f>Y3*(($B$30*$B$31*$B$32*($L$3+$B$24))+($B$33*$B$31))</f>
        <v>1.4759943500000001E-3</v>
      </c>
      <c r="K14" s="5">
        <f>(($B$35*$B$36*$B$37*($L$3+$B$24))+($B$38*$B$36))</f>
        <v>4.7786499999999998</v>
      </c>
      <c r="L14" s="5">
        <f>AA3*$B$64*(($B$35*$B$36*$B$37*($L$3+$B$24))+($B$38*$B$36))</f>
        <v>5.1034126213592233E-4</v>
      </c>
      <c r="M14" s="5">
        <f>(($B$39*$B$40*$B$41*($L$3+$B$24))+($B$42*$B$40))</f>
        <v>1.5849500000000001</v>
      </c>
      <c r="N14" s="5">
        <f>AC3*(($B$39*$B$40*$B$41*($L$3+$B$24))+($B$42*$B$40))</f>
        <v>3.1699000000000002E-3</v>
      </c>
      <c r="O14" s="5">
        <f>(($B$25*$B$26*$B$27*($L$3+$B$24))+($B$28*$B$26))</f>
        <v>7.3700000000000002E-2</v>
      </c>
      <c r="P14" s="5">
        <f>U3*(($B$25*$B$26*$B$27*($L$3+$B$24))+($B$28*$B$26))</f>
        <v>7.1488999999999997E-2</v>
      </c>
      <c r="Q14" s="5">
        <f>(($B$25*$B$26*$B$27*(L3+$B$24))+($B$28*$B$26))</f>
        <v>7.3700000000000002E-2</v>
      </c>
      <c r="R14" s="63">
        <f>S3*(($B$25*$B$26*$B$27*(L3+$B$24))+($B$28*$B$26))</f>
        <v>2.4321E-3</v>
      </c>
      <c r="T14" s="6"/>
      <c r="U14" s="6"/>
      <c r="V14" s="6"/>
      <c r="W14" s="6"/>
      <c r="X14" s="6"/>
      <c r="Y14" s="6"/>
      <c r="Z14" s="6"/>
    </row>
    <row r="15" spans="1:29" ht="15.75" thickBot="1" x14ac:dyDescent="0.3">
      <c r="A15" s="103" t="s">
        <v>78</v>
      </c>
      <c r="B15" s="104">
        <v>20</v>
      </c>
      <c r="D15" s="274"/>
      <c r="E15" s="45" t="e">
        <f>(E13/E14)</f>
        <v>#DIV/0!</v>
      </c>
      <c r="F15" s="45">
        <f t="shared" ref="F15:R15" si="5">(F13/F14)</f>
        <v>4.3992838193332301E-2</v>
      </c>
      <c r="G15" s="45">
        <f t="shared" si="5"/>
        <v>-0.48</v>
      </c>
      <c r="H15" s="45">
        <f t="shared" si="5"/>
        <v>0.14656195801616928</v>
      </c>
      <c r="I15" s="45">
        <f t="shared" si="5"/>
        <v>-15.440438508453639</v>
      </c>
      <c r="J15" s="45">
        <f t="shared" si="5"/>
        <v>13.669143915369318</v>
      </c>
      <c r="K15" s="45">
        <f t="shared" si="5"/>
        <v>-19.252299289548304</v>
      </c>
      <c r="L15" s="45">
        <f t="shared" si="5"/>
        <v>14.556024357759121</v>
      </c>
      <c r="M15" s="45">
        <f t="shared" si="5"/>
        <v>-7.1926559197451025</v>
      </c>
      <c r="N15" s="45">
        <f t="shared" si="5"/>
        <v>11.76259373346848</v>
      </c>
      <c r="O15" s="45">
        <f t="shared" si="5"/>
        <v>-5.4274084124830395</v>
      </c>
      <c r="P15" s="45">
        <f t="shared" si="5"/>
        <v>0.47632109897817354</v>
      </c>
      <c r="Q15" s="45">
        <f t="shared" si="5"/>
        <v>-5.4274084124830395</v>
      </c>
      <c r="R15" s="87">
        <f t="shared" si="5"/>
        <v>28.052605408762805</v>
      </c>
      <c r="T15" s="6"/>
      <c r="U15" s="6"/>
      <c r="V15" s="6"/>
      <c r="W15" s="6"/>
      <c r="X15" s="6"/>
      <c r="Y15" s="6"/>
      <c r="Z15" s="6"/>
    </row>
    <row r="16" spans="1:29" x14ac:dyDescent="0.25">
      <c r="A16" s="105" t="s">
        <v>125</v>
      </c>
      <c r="B16" s="17">
        <f>$B$43*(3600/(0.036*(1-$B$44)*(($B$45/$B$46)^3)*$B$47))</f>
        <v>1359344473.5814338</v>
      </c>
      <c r="D16" s="273" t="s">
        <v>4</v>
      </c>
      <c r="E16" s="15" t="e">
        <f>-(O5+P5+Q5)</f>
        <v>#DIV/0!</v>
      </c>
      <c r="F16" s="15">
        <f>$N$5</f>
        <v>4.0296493702550604</v>
      </c>
      <c r="G16" s="55"/>
      <c r="H16" s="55"/>
      <c r="I16" s="15">
        <f>-$B$63</f>
        <v>-53</v>
      </c>
      <c r="J16" s="15">
        <f>X5</f>
        <v>6.9111431014102989</v>
      </c>
      <c r="K16" s="15">
        <f>-$B$65</f>
        <v>-92</v>
      </c>
      <c r="L16" s="15">
        <f>Z5</f>
        <v>2.5446457524726025</v>
      </c>
      <c r="M16" s="15">
        <f>-$B$66</f>
        <v>-11.4</v>
      </c>
      <c r="N16" s="55"/>
      <c r="O16" s="15">
        <f>-$B$61</f>
        <v>-0.4</v>
      </c>
      <c r="P16" s="55"/>
      <c r="Q16" s="15">
        <f>-$B$61</f>
        <v>-0.4</v>
      </c>
      <c r="R16" s="98"/>
      <c r="T16" s="6"/>
      <c r="U16" s="6"/>
      <c r="V16" s="6"/>
      <c r="W16" s="6"/>
      <c r="X16" s="6"/>
      <c r="Y16" s="6"/>
      <c r="Z16" s="6"/>
    </row>
    <row r="17" spans="1:26" x14ac:dyDescent="0.25">
      <c r="A17" s="105" t="s">
        <v>126</v>
      </c>
      <c r="B17" s="104">
        <f>AVERAGE(B8,B5)</f>
        <v>350</v>
      </c>
      <c r="D17" s="279"/>
      <c r="E17" s="5">
        <f>K5+$B$23</f>
        <v>5.0599999999999996</v>
      </c>
      <c r="F17" s="5">
        <f>K5+$B$23</f>
        <v>5.0599999999999996</v>
      </c>
      <c r="G17" s="38"/>
      <c r="H17" s="56"/>
      <c r="I17" s="5">
        <f>(($B$30*$B$31*$B$32*($L$5+$B$24))+($B$33*$B$31))</f>
        <v>285.8125</v>
      </c>
      <c r="J17" s="5">
        <f>Y5*(($B$30*$B$31*$B$32*($L$5+$B$24))+($B$33*$B$31))</f>
        <v>3.4297499999999999</v>
      </c>
      <c r="K17" s="5">
        <f>(($B$35*$B$36*$B$37*($L$5+$B$24))+($B$38*$B$36))</f>
        <v>410.23500000000001</v>
      </c>
      <c r="L17" s="5">
        <f>AA5*$B$64*(($B$35*$B$36*$B$37*($L$5+$B$24))+($B$38*$B$36))</f>
        <v>3.9828640776699036</v>
      </c>
      <c r="M17" s="5">
        <f>(($B$39*$B$40*$B$41*($L$5+$B$24))+($B$42*$B$40))</f>
        <v>114.34500000000001</v>
      </c>
      <c r="N17" s="56"/>
      <c r="O17" s="5">
        <f>(($B$25*$B$26*$B$27*($L$5+$B$24))+($B$28*$B$26))</f>
        <v>4.8720000000000008</v>
      </c>
      <c r="P17" s="56"/>
      <c r="Q17" s="5">
        <f>(($B$25*$B$26*$B$27*(L5+$B$24))+($B$28*$B$26))</f>
        <v>4.8720000000000008</v>
      </c>
      <c r="R17" s="99"/>
      <c r="T17" s="6"/>
      <c r="U17" s="6"/>
      <c r="V17" s="6"/>
      <c r="W17" s="6"/>
      <c r="X17" s="6"/>
      <c r="Y17" s="6"/>
      <c r="Z17" s="6"/>
    </row>
    <row r="18" spans="1:26" ht="15.75" thickBot="1" x14ac:dyDescent="0.3">
      <c r="A18" s="105" t="s">
        <v>127</v>
      </c>
      <c r="B18" s="104">
        <f>B6+B9</f>
        <v>40</v>
      </c>
      <c r="D18" s="274"/>
      <c r="E18" s="45" t="e">
        <f>(E16/E17)</f>
        <v>#DIV/0!</v>
      </c>
      <c r="F18" s="45">
        <f t="shared" ref="F18:Q18" si="6">(F16/F17)</f>
        <v>0.79637339333103963</v>
      </c>
      <c r="G18" s="97"/>
      <c r="H18" s="97"/>
      <c r="I18" s="45">
        <f t="shared" si="6"/>
        <v>-0.18543625628690139</v>
      </c>
      <c r="J18" s="45">
        <f t="shared" si="6"/>
        <v>2.0150573952650483</v>
      </c>
      <c r="K18" s="45">
        <f t="shared" si="6"/>
        <v>-0.22426170365765963</v>
      </c>
      <c r="L18" s="45">
        <f t="shared" si="6"/>
        <v>0.63889846674388584</v>
      </c>
      <c r="M18" s="45">
        <f t="shared" si="6"/>
        <v>-9.969828151646333E-2</v>
      </c>
      <c r="N18" s="97"/>
      <c r="O18" s="45">
        <f t="shared" si="6"/>
        <v>-8.2101806239737271E-2</v>
      </c>
      <c r="P18" s="97"/>
      <c r="Q18" s="45">
        <f t="shared" si="6"/>
        <v>-8.2101806239737271E-2</v>
      </c>
      <c r="R18" s="179"/>
      <c r="T18" s="6"/>
      <c r="U18" s="6"/>
      <c r="V18" s="6"/>
      <c r="W18" s="6"/>
      <c r="X18" s="6"/>
      <c r="Y18" s="6"/>
      <c r="Z18" s="6"/>
    </row>
    <row r="19" spans="1:26" x14ac:dyDescent="0.25">
      <c r="A19" s="103" t="s">
        <v>128</v>
      </c>
      <c r="B19" s="104">
        <v>12.167999999999999</v>
      </c>
      <c r="D19" s="273" t="s">
        <v>5</v>
      </c>
      <c r="E19" s="15" t="e">
        <f>-(O6+P6+Q6)</f>
        <v>#DIV/0!</v>
      </c>
      <c r="F19" s="15">
        <f>$N$6</f>
        <v>1.5522495503171856E-3</v>
      </c>
      <c r="G19" s="15">
        <f>-M6</f>
        <v>-5</v>
      </c>
      <c r="H19" s="15">
        <f>V6*M6</f>
        <v>1.5310232152724586E-2</v>
      </c>
      <c r="I19" s="15">
        <f>-$B$63</f>
        <v>-53</v>
      </c>
      <c r="J19" s="15">
        <f>X6</f>
        <v>2.6622213958687009E-3</v>
      </c>
      <c r="K19" s="15">
        <f>-$B$65</f>
        <v>-92</v>
      </c>
      <c r="L19" s="15">
        <f>Z6</f>
        <v>9.802156123429964E-4</v>
      </c>
      <c r="M19" s="15">
        <f>-$B$66</f>
        <v>-11.4</v>
      </c>
      <c r="N19" s="15">
        <f>AB6</f>
        <v>4.9200194262047012E-3</v>
      </c>
      <c r="O19" s="15">
        <f>-$B$61</f>
        <v>-0.4</v>
      </c>
      <c r="P19" s="15">
        <f>T6</f>
        <v>4.4932149982258541E-3</v>
      </c>
      <c r="Q19" s="15">
        <f>-$B$61</f>
        <v>-0.4</v>
      </c>
      <c r="R19" s="62">
        <f>R6</f>
        <v>9.0027002248919529E-3</v>
      </c>
      <c r="T19" s="6"/>
      <c r="U19" s="6"/>
      <c r="V19" s="6"/>
      <c r="W19" s="6"/>
      <c r="X19" s="6"/>
      <c r="Y19" s="6"/>
      <c r="Z19" s="6"/>
    </row>
    <row r="20" spans="1:26" x14ac:dyDescent="0.25">
      <c r="A20" s="103" t="s">
        <v>129</v>
      </c>
      <c r="B20" s="104">
        <v>10.007999999999999</v>
      </c>
      <c r="D20" s="279"/>
      <c r="E20" s="5">
        <f>K6+$B$23</f>
        <v>0.26000826999999999</v>
      </c>
      <c r="F20" s="5">
        <f>K6+$B$23</f>
        <v>0.26000826999999999</v>
      </c>
      <c r="G20" s="1">
        <f>1000</f>
        <v>1000</v>
      </c>
      <c r="H20" s="5">
        <f>W6</f>
        <v>21000</v>
      </c>
      <c r="I20" s="5">
        <f>(($B$30*$B$31*$B$32*($L$6+$B$24))+($B$33*$B$31))</f>
        <v>3.3326118149999999</v>
      </c>
      <c r="J20" s="5">
        <f>Y6*(($B$30*$B$31*$B$32*($L$6+$B$24))+($B$33*$B$31))</f>
        <v>3.6658729965E-6</v>
      </c>
      <c r="K20" s="5">
        <f>(($B$35*$B$36*$B$37*($L$6+$B$24))+($B$38*$B$36))</f>
        <v>4.6351605500000002</v>
      </c>
      <c r="L20" s="5">
        <f>AA6*$B$64*(($B$35*$B$36*$B$37*($L$6+$B$24))+($B$38*$B$36))</f>
        <v>4.5001558737864086E-5</v>
      </c>
      <c r="M20" s="5">
        <f>(($B$39*$B$40*$B$41*($L$6+$B$24))+($B$42*$B$40))</f>
        <v>1.5450446499999999</v>
      </c>
      <c r="N20" s="5">
        <f>AC6*(($B$39*$B$40*$B$41*($L$6+$B$24))+($B$42*$B$40))</f>
        <v>1.2360357200000001E-4</v>
      </c>
      <c r="O20" s="5">
        <f>(($B$25*$B$26*$B$27*($L$6+$B$24))+($B$28*$B$26))</f>
        <v>7.2001900000000008E-2</v>
      </c>
      <c r="P20" s="5">
        <f>U6*(($B$25*$B$26*$B$27*($L$6+$B$24))+($B$28*$B$26))</f>
        <v>2.1600570000000004E-4</v>
      </c>
      <c r="Q20" s="5">
        <f>(($B$25*$B$26*$B$27*(L6+$B$24))+($B$28*$B$26))</f>
        <v>7.2001900000000008E-2</v>
      </c>
      <c r="R20" s="63">
        <f>S6*(($B$25*$B$26*$B$27*(L6+$B$24))+($B$28*$B$26))</f>
        <v>8.6402279999999996E-5</v>
      </c>
      <c r="T20" s="6"/>
      <c r="U20" s="6"/>
      <c r="V20" s="6"/>
      <c r="W20" s="6"/>
      <c r="X20" s="6"/>
      <c r="Y20" s="6"/>
      <c r="Z20" s="6"/>
    </row>
    <row r="21" spans="1:26" ht="15.75" thickBot="1" x14ac:dyDescent="0.3">
      <c r="A21" s="103" t="s">
        <v>130</v>
      </c>
      <c r="B21" s="104" t="s">
        <v>100</v>
      </c>
      <c r="D21" s="274"/>
      <c r="E21" s="45" t="e">
        <f>(E19/E20)</f>
        <v>#DIV/0!</v>
      </c>
      <c r="F21" s="45">
        <f t="shared" ref="F21:R21" si="7">(F19/F20)</f>
        <v>5.9700006861981188E-3</v>
      </c>
      <c r="G21" s="45">
        <f t="shared" si="7"/>
        <v>-5.0000000000000001E-3</v>
      </c>
      <c r="H21" s="45">
        <f t="shared" si="7"/>
        <v>7.2905867393926599E-7</v>
      </c>
      <c r="I21" s="45">
        <f t="shared" si="7"/>
        <v>-15.903442387573724</v>
      </c>
      <c r="J21" s="45">
        <f t="shared" si="7"/>
        <v>726.21757447965672</v>
      </c>
      <c r="K21" s="45">
        <f t="shared" si="7"/>
        <v>-19.848287671502554</v>
      </c>
      <c r="L21" s="45">
        <f t="shared" si="7"/>
        <v>21.781814671193775</v>
      </c>
      <c r="M21" s="45">
        <f t="shared" si="7"/>
        <v>-7.3784275425308916</v>
      </c>
      <c r="N21" s="45">
        <f t="shared" si="7"/>
        <v>39.804832065894509</v>
      </c>
      <c r="O21" s="45">
        <f t="shared" si="7"/>
        <v>-5.5554089544859231</v>
      </c>
      <c r="P21" s="45">
        <f t="shared" si="7"/>
        <v>20.801372362978633</v>
      </c>
      <c r="Q21" s="45">
        <f t="shared" si="7"/>
        <v>-5.5554089544859231</v>
      </c>
      <c r="R21" s="87">
        <f t="shared" si="7"/>
        <v>104.19516967482748</v>
      </c>
      <c r="S21" s="86"/>
      <c r="T21" s="6"/>
      <c r="U21" s="6"/>
      <c r="V21" s="6"/>
      <c r="W21" s="6"/>
      <c r="X21" s="6"/>
      <c r="Y21" s="6"/>
      <c r="Z21" s="6"/>
    </row>
    <row r="22" spans="1:26" ht="15.75" thickBot="1" x14ac:dyDescent="0.3">
      <c r="A22" s="103" t="s">
        <v>131</v>
      </c>
      <c r="B22" s="104" t="s">
        <v>90</v>
      </c>
      <c r="E22" s="7"/>
      <c r="F22" s="91"/>
      <c r="G22" s="91"/>
      <c r="H22" s="91"/>
      <c r="I22" s="91"/>
      <c r="T22" s="6"/>
      <c r="U22" s="6"/>
      <c r="V22" s="6"/>
      <c r="W22" s="6"/>
      <c r="X22" s="6"/>
      <c r="Y22" s="6"/>
      <c r="Z22" s="6"/>
    </row>
    <row r="23" spans="1:26" x14ac:dyDescent="0.25">
      <c r="A23" s="103" t="s">
        <v>90</v>
      </c>
      <c r="B23" s="104">
        <v>0.26</v>
      </c>
      <c r="E23" s="275" t="s">
        <v>2</v>
      </c>
      <c r="F23" s="276"/>
      <c r="G23" s="276"/>
      <c r="H23" s="276"/>
      <c r="I23" s="277"/>
      <c r="J23" s="275" t="s">
        <v>3</v>
      </c>
      <c r="K23" s="276"/>
      <c r="L23" s="276"/>
      <c r="M23" s="276"/>
      <c r="N23" s="277"/>
      <c r="O23" s="275" t="s">
        <v>4</v>
      </c>
      <c r="P23" s="276"/>
      <c r="Q23" s="276"/>
      <c r="R23" s="276"/>
      <c r="S23" s="277"/>
      <c r="T23" s="275" t="s">
        <v>5</v>
      </c>
      <c r="U23" s="276"/>
      <c r="V23" s="276"/>
      <c r="W23" s="276"/>
      <c r="X23" s="277"/>
    </row>
    <row r="24" spans="1:26" ht="15.75" thickBot="1" x14ac:dyDescent="0.3">
      <c r="A24" s="103" t="s">
        <v>90</v>
      </c>
      <c r="B24" s="104">
        <v>0.25</v>
      </c>
      <c r="E24" s="92"/>
      <c r="F24" s="81"/>
      <c r="G24" s="81" t="s">
        <v>51</v>
      </c>
      <c r="H24" s="81" t="s">
        <v>52</v>
      </c>
      <c r="I24" s="93" t="s">
        <v>53</v>
      </c>
      <c r="J24" s="92"/>
      <c r="K24" s="81"/>
      <c r="L24" s="81" t="s">
        <v>51</v>
      </c>
      <c r="M24" s="81" t="s">
        <v>52</v>
      </c>
      <c r="N24" s="93" t="s">
        <v>53</v>
      </c>
      <c r="O24" s="92"/>
      <c r="P24" s="81"/>
      <c r="Q24" s="81" t="s">
        <v>51</v>
      </c>
      <c r="R24" s="81" t="s">
        <v>52</v>
      </c>
      <c r="S24" s="93" t="s">
        <v>53</v>
      </c>
      <c r="T24" s="92"/>
      <c r="U24" s="81"/>
      <c r="V24" s="81" t="s">
        <v>51</v>
      </c>
      <c r="W24" s="81" t="s">
        <v>52</v>
      </c>
      <c r="X24" s="93" t="s">
        <v>53</v>
      </c>
    </row>
    <row r="25" spans="1:26" x14ac:dyDescent="0.25">
      <c r="A25" s="103" t="s">
        <v>132</v>
      </c>
      <c r="B25" s="104">
        <v>0.2</v>
      </c>
      <c r="E25" s="273" t="s">
        <v>163</v>
      </c>
      <c r="F25" s="82" t="s">
        <v>159</v>
      </c>
      <c r="G25" s="15">
        <v>-49</v>
      </c>
      <c r="H25" s="15">
        <v>-48.9</v>
      </c>
      <c r="I25" s="16">
        <f t="shared" ref="I25:I38" si="8">(G25-H25)/((1/2)*(G25+H25))</f>
        <v>2.0429009193054428E-3</v>
      </c>
      <c r="J25" s="273" t="s">
        <v>163</v>
      </c>
      <c r="K25" s="82" t="s">
        <v>159</v>
      </c>
      <c r="L25" s="15">
        <v>-23.3</v>
      </c>
      <c r="M25" s="15">
        <v>-23.2</v>
      </c>
      <c r="N25" s="16">
        <f t="shared" ref="N25:N38" si="9">(L25-M25)/((1/2)*(L25+M25))</f>
        <v>4.301075268817265E-3</v>
      </c>
      <c r="O25" s="273" t="s">
        <v>163</v>
      </c>
      <c r="P25" s="82" t="s">
        <v>159</v>
      </c>
      <c r="Q25" s="15">
        <v>-18.7</v>
      </c>
      <c r="R25" s="15">
        <v>-18.7</v>
      </c>
      <c r="S25" s="16">
        <f t="shared" ref="S25:S37" si="10">(Q25-R25)/((1/2)*(Q25+R25))</f>
        <v>0</v>
      </c>
      <c r="T25" s="273" t="s">
        <v>163</v>
      </c>
      <c r="U25" s="82" t="s">
        <v>159</v>
      </c>
      <c r="V25" s="15">
        <v>-46</v>
      </c>
      <c r="W25" s="15">
        <v>-46</v>
      </c>
      <c r="X25" s="16">
        <f t="shared" ref="X25:X38" si="11">(V25-W25)/((1/2)*(V25+W25))</f>
        <v>0</v>
      </c>
    </row>
    <row r="26" spans="1:26" ht="15.75" thickBot="1" x14ac:dyDescent="0.3">
      <c r="A26" s="103" t="s">
        <v>133</v>
      </c>
      <c r="B26" s="104">
        <v>1</v>
      </c>
      <c r="E26" s="274"/>
      <c r="F26" s="85" t="s">
        <v>160</v>
      </c>
      <c r="G26" s="20">
        <v>7.5300000000000002E-3</v>
      </c>
      <c r="H26" s="20">
        <v>7.4799999999999997E-3</v>
      </c>
      <c r="I26" s="21">
        <f t="shared" si="8"/>
        <v>6.6622251832112681E-3</v>
      </c>
      <c r="J26" s="274"/>
      <c r="K26" s="85" t="s">
        <v>160</v>
      </c>
      <c r="L26" s="20">
        <v>4.3999999999999997E-2</v>
      </c>
      <c r="M26" s="20">
        <v>4.3499999999999997E-2</v>
      </c>
      <c r="N26" s="21">
        <f t="shared" si="9"/>
        <v>1.1428571428571439E-2</v>
      </c>
      <c r="O26" s="274"/>
      <c r="P26" s="85" t="s">
        <v>160</v>
      </c>
      <c r="Q26" s="20">
        <v>0.79600000000000004</v>
      </c>
      <c r="R26" s="20">
        <v>0.78800000000000003</v>
      </c>
      <c r="S26" s="21">
        <f t="shared" si="10"/>
        <v>1.0101010101010109E-2</v>
      </c>
      <c r="T26" s="274"/>
      <c r="U26" s="85" t="s">
        <v>160</v>
      </c>
      <c r="V26" s="20">
        <v>5.9699999999999996E-3</v>
      </c>
      <c r="W26" s="20">
        <v>5.8900000000000003E-3</v>
      </c>
      <c r="X26" s="21">
        <f t="shared" si="11"/>
        <v>1.3490725126475438E-2</v>
      </c>
    </row>
    <row r="27" spans="1:26" x14ac:dyDescent="0.25">
      <c r="A27" s="103" t="s">
        <v>134</v>
      </c>
      <c r="B27" s="104">
        <v>1</v>
      </c>
      <c r="E27" s="273" t="s">
        <v>50</v>
      </c>
      <c r="F27" s="82" t="s">
        <v>159</v>
      </c>
      <c r="G27" s="15">
        <v>-4.0000000000000001E-3</v>
      </c>
      <c r="H27" s="15">
        <v>-4.0000000000000001E-3</v>
      </c>
      <c r="I27" s="16">
        <f t="shared" si="8"/>
        <v>0</v>
      </c>
      <c r="J27" s="273" t="s">
        <v>50</v>
      </c>
      <c r="K27" s="82" t="s">
        <v>159</v>
      </c>
      <c r="L27" s="15">
        <v>-0.48</v>
      </c>
      <c r="M27" s="15">
        <v>-0.48</v>
      </c>
      <c r="N27" s="16">
        <f t="shared" si="9"/>
        <v>0</v>
      </c>
      <c r="O27" s="273" t="s">
        <v>50</v>
      </c>
      <c r="P27" s="82" t="s">
        <v>159</v>
      </c>
      <c r="Q27" s="55"/>
      <c r="R27" s="55"/>
      <c r="S27" s="184"/>
      <c r="T27" s="273" t="s">
        <v>50</v>
      </c>
      <c r="U27" s="82" t="s">
        <v>159</v>
      </c>
      <c r="V27" s="15">
        <v>-5.0000000000000001E-3</v>
      </c>
      <c r="W27" s="15">
        <v>-5.0000000000000001E-3</v>
      </c>
      <c r="X27" s="16">
        <f t="shared" si="11"/>
        <v>0</v>
      </c>
    </row>
    <row r="28" spans="1:26" ht="15.75" thickBot="1" x14ac:dyDescent="0.3">
      <c r="A28" s="103" t="s">
        <v>135</v>
      </c>
      <c r="B28" s="104">
        <v>2.1999999999999999E-2</v>
      </c>
      <c r="E28" s="274"/>
      <c r="F28" s="85" t="s">
        <v>160</v>
      </c>
      <c r="G28" s="20">
        <v>6.4399999999999993E-5</v>
      </c>
      <c r="H28" s="20">
        <v>6.4599999999999998E-5</v>
      </c>
      <c r="I28" s="21">
        <f t="shared" si="8"/>
        <v>-3.100775193798525E-3</v>
      </c>
      <c r="J28" s="274"/>
      <c r="K28" s="85" t="s">
        <v>160</v>
      </c>
      <c r="L28" s="20">
        <v>0.14699999999999999</v>
      </c>
      <c r="M28" s="20">
        <v>0.14599999999999999</v>
      </c>
      <c r="N28" s="21">
        <f t="shared" si="9"/>
        <v>6.8259385665529072E-3</v>
      </c>
      <c r="O28" s="274"/>
      <c r="P28" s="85" t="s">
        <v>160</v>
      </c>
      <c r="Q28" s="94"/>
      <c r="R28" s="94"/>
      <c r="S28" s="95"/>
      <c r="T28" s="274"/>
      <c r="U28" s="85" t="s">
        <v>160</v>
      </c>
      <c r="V28" s="20">
        <v>7.2900000000000003E-7</v>
      </c>
      <c r="W28" s="20">
        <v>7.2699999999999999E-7</v>
      </c>
      <c r="X28" s="21">
        <f t="shared" si="11"/>
        <v>2.7472527472528082E-3</v>
      </c>
    </row>
    <row r="29" spans="1:26" x14ac:dyDescent="0.25">
      <c r="A29" s="103" t="s">
        <v>136</v>
      </c>
      <c r="B29" s="104" t="s">
        <v>149</v>
      </c>
      <c r="E29" s="273" t="s">
        <v>47</v>
      </c>
      <c r="F29" s="82" t="s">
        <v>159</v>
      </c>
      <c r="G29" s="15">
        <v>-15.9</v>
      </c>
      <c r="H29" s="15">
        <v>-15.9</v>
      </c>
      <c r="I29" s="16">
        <f t="shared" si="8"/>
        <v>0</v>
      </c>
      <c r="J29" s="273" t="s">
        <v>47</v>
      </c>
      <c r="K29" s="82" t="s">
        <v>159</v>
      </c>
      <c r="L29" s="15">
        <v>-15.4</v>
      </c>
      <c r="M29" s="15">
        <v>-15.4</v>
      </c>
      <c r="N29" s="16">
        <f t="shared" si="9"/>
        <v>0</v>
      </c>
      <c r="O29" s="273" t="s">
        <v>47</v>
      </c>
      <c r="P29" s="82" t="s">
        <v>159</v>
      </c>
      <c r="Q29" s="15">
        <v>-0.185</v>
      </c>
      <c r="R29" s="15">
        <v>-0.185</v>
      </c>
      <c r="S29" s="16">
        <f t="shared" si="10"/>
        <v>0</v>
      </c>
      <c r="T29" s="273" t="s">
        <v>47</v>
      </c>
      <c r="U29" s="82" t="s">
        <v>159</v>
      </c>
      <c r="V29" s="15">
        <v>-15.9</v>
      </c>
      <c r="W29" s="15">
        <v>-15.9</v>
      </c>
      <c r="X29" s="16">
        <f t="shared" si="11"/>
        <v>0</v>
      </c>
    </row>
    <row r="30" spans="1:26" ht="15.75" thickBot="1" x14ac:dyDescent="0.3">
      <c r="A30" s="103" t="s">
        <v>137</v>
      </c>
      <c r="B30" s="104">
        <v>11.77</v>
      </c>
      <c r="E30" s="274"/>
      <c r="F30" s="85" t="s">
        <v>160</v>
      </c>
      <c r="G30" s="20">
        <v>2.0099999999999998</v>
      </c>
      <c r="H30" s="20">
        <v>2.02</v>
      </c>
      <c r="I30" s="21">
        <f t="shared" si="8"/>
        <v>-4.9627791563276588E-3</v>
      </c>
      <c r="J30" s="274"/>
      <c r="K30" s="85" t="s">
        <v>160</v>
      </c>
      <c r="L30" s="20">
        <v>13.7</v>
      </c>
      <c r="M30" s="20">
        <v>13.7</v>
      </c>
      <c r="N30" s="21">
        <f t="shared" si="9"/>
        <v>0</v>
      </c>
      <c r="O30" s="274"/>
      <c r="P30" s="85" t="s">
        <v>160</v>
      </c>
      <c r="Q30" s="20">
        <v>2.02</v>
      </c>
      <c r="R30" s="20">
        <v>2.0099999999999998</v>
      </c>
      <c r="S30" s="21">
        <f t="shared" si="10"/>
        <v>4.9627791563276588E-3</v>
      </c>
      <c r="T30" s="274"/>
      <c r="U30" s="85" t="s">
        <v>160</v>
      </c>
      <c r="V30" s="20">
        <v>726</v>
      </c>
      <c r="W30" s="20">
        <v>724</v>
      </c>
      <c r="X30" s="21">
        <f t="shared" si="11"/>
        <v>2.7586206896551722E-3</v>
      </c>
    </row>
    <row r="31" spans="1:26" x14ac:dyDescent="0.25">
      <c r="A31" s="103" t="s">
        <v>138</v>
      </c>
      <c r="B31" s="104">
        <v>1</v>
      </c>
      <c r="C31" s="7">
        <v>16.899999999999999</v>
      </c>
      <c r="E31" s="273" t="s">
        <v>48</v>
      </c>
      <c r="F31" s="82" t="s">
        <v>159</v>
      </c>
      <c r="G31" s="15">
        <v>-19.8</v>
      </c>
      <c r="H31" s="15">
        <v>-19.8</v>
      </c>
      <c r="I31" s="16">
        <f t="shared" si="8"/>
        <v>0</v>
      </c>
      <c r="J31" s="273" t="s">
        <v>48</v>
      </c>
      <c r="K31" s="82" t="s">
        <v>159</v>
      </c>
      <c r="L31" s="15">
        <v>-19.3</v>
      </c>
      <c r="M31" s="15">
        <v>-19.3</v>
      </c>
      <c r="N31" s="16">
        <f t="shared" si="9"/>
        <v>0</v>
      </c>
      <c r="O31" s="273" t="s">
        <v>48</v>
      </c>
      <c r="P31" s="82" t="s">
        <v>159</v>
      </c>
      <c r="Q31" s="15">
        <v>-0.224</v>
      </c>
      <c r="R31" s="15">
        <v>-0.224</v>
      </c>
      <c r="S31" s="16">
        <f t="shared" si="10"/>
        <v>0</v>
      </c>
      <c r="T31" s="273" t="s">
        <v>48</v>
      </c>
      <c r="U31" s="82" t="s">
        <v>159</v>
      </c>
      <c r="V31" s="15">
        <v>-19.8</v>
      </c>
      <c r="W31" s="15">
        <v>-19.8</v>
      </c>
      <c r="X31" s="16">
        <f t="shared" si="11"/>
        <v>0</v>
      </c>
    </row>
    <row r="32" spans="1:26" ht="15.75" thickBot="1" x14ac:dyDescent="0.3">
      <c r="A32" s="103" t="s">
        <v>139</v>
      </c>
      <c r="B32" s="104">
        <v>1</v>
      </c>
      <c r="C32" s="7"/>
      <c r="E32" s="274"/>
      <c r="F32" s="85" t="s">
        <v>160</v>
      </c>
      <c r="G32" s="20">
        <v>654</v>
      </c>
      <c r="H32" s="20">
        <v>656</v>
      </c>
      <c r="I32" s="21">
        <f t="shared" si="8"/>
        <v>-3.0534351145038168E-3</v>
      </c>
      <c r="J32" s="274"/>
      <c r="K32" s="85" t="s">
        <v>160</v>
      </c>
      <c r="L32" s="20">
        <v>14.6</v>
      </c>
      <c r="M32" s="20">
        <v>14.5</v>
      </c>
      <c r="N32" s="21">
        <f t="shared" si="9"/>
        <v>6.8728522336769515E-3</v>
      </c>
      <c r="O32" s="274"/>
      <c r="P32" s="85" t="s">
        <v>160</v>
      </c>
      <c r="Q32" s="20">
        <v>0.63900000000000001</v>
      </c>
      <c r="R32" s="20">
        <v>0.63900000000000001</v>
      </c>
      <c r="S32" s="21">
        <f t="shared" si="10"/>
        <v>0</v>
      </c>
      <c r="T32" s="274"/>
      <c r="U32" s="85" t="s">
        <v>160</v>
      </c>
      <c r="V32" s="20">
        <v>21.8</v>
      </c>
      <c r="W32" s="20">
        <v>21.7</v>
      </c>
      <c r="X32" s="21">
        <f t="shared" si="11"/>
        <v>4.5977011494253523E-3</v>
      </c>
    </row>
    <row r="33" spans="1:24" x14ac:dyDescent="0.25">
      <c r="A33" s="103" t="s">
        <v>140</v>
      </c>
      <c r="B33" s="104">
        <v>0.39</v>
      </c>
      <c r="C33" s="7"/>
      <c r="E33" s="273" t="s">
        <v>49</v>
      </c>
      <c r="F33" s="82" t="s">
        <v>159</v>
      </c>
      <c r="G33" s="15">
        <v>-7.38</v>
      </c>
      <c r="H33" s="15">
        <v>-7.38</v>
      </c>
      <c r="I33" s="16">
        <f t="shared" si="8"/>
        <v>0</v>
      </c>
      <c r="J33" s="273" t="s">
        <v>49</v>
      </c>
      <c r="K33" s="82" t="s">
        <v>159</v>
      </c>
      <c r="L33" s="15">
        <v>-7.19</v>
      </c>
      <c r="M33" s="15">
        <v>-7.19</v>
      </c>
      <c r="N33" s="16">
        <f t="shared" si="9"/>
        <v>0</v>
      </c>
      <c r="O33" s="273" t="s">
        <v>49</v>
      </c>
      <c r="P33" s="82" t="s">
        <v>159</v>
      </c>
      <c r="Q33" s="15">
        <v>-9.9699999999999997E-2</v>
      </c>
      <c r="R33" s="15">
        <v>-9.9699999999999997E-2</v>
      </c>
      <c r="S33" s="16">
        <f t="shared" si="10"/>
        <v>0</v>
      </c>
      <c r="T33" s="273" t="s">
        <v>49</v>
      </c>
      <c r="U33" s="82" t="s">
        <v>159</v>
      </c>
      <c r="V33" s="15">
        <v>-7.38</v>
      </c>
      <c r="W33" s="15">
        <v>-7.38</v>
      </c>
      <c r="X33" s="16">
        <f t="shared" si="11"/>
        <v>0</v>
      </c>
    </row>
    <row r="34" spans="1:24" ht="15.75" thickBot="1" x14ac:dyDescent="0.3">
      <c r="A34" s="106" t="s">
        <v>97</v>
      </c>
      <c r="B34" s="104">
        <v>1.03</v>
      </c>
      <c r="C34" s="7">
        <v>0.41</v>
      </c>
      <c r="E34" s="274"/>
      <c r="F34" s="85" t="s">
        <v>160</v>
      </c>
      <c r="G34" s="20">
        <v>23.6</v>
      </c>
      <c r="H34" s="20">
        <v>23.7</v>
      </c>
      <c r="I34" s="21">
        <f t="shared" si="8"/>
        <v>-4.2283298097250685E-3</v>
      </c>
      <c r="J34" s="274"/>
      <c r="K34" s="85" t="s">
        <v>160</v>
      </c>
      <c r="L34" s="20">
        <v>11.8</v>
      </c>
      <c r="M34" s="20">
        <v>11.8</v>
      </c>
      <c r="N34" s="21">
        <f t="shared" si="9"/>
        <v>0</v>
      </c>
      <c r="O34" s="274"/>
      <c r="P34" s="85" t="s">
        <v>160</v>
      </c>
      <c r="Q34" s="94"/>
      <c r="R34" s="94"/>
      <c r="S34" s="95"/>
      <c r="T34" s="274"/>
      <c r="U34" s="85" t="s">
        <v>160</v>
      </c>
      <c r="V34" s="20">
        <v>39.799999999999997</v>
      </c>
      <c r="W34" s="20">
        <v>39.700000000000003</v>
      </c>
      <c r="X34" s="21">
        <f t="shared" si="11"/>
        <v>2.5157232704401088E-3</v>
      </c>
    </row>
    <row r="35" spans="1:24" x14ac:dyDescent="0.25">
      <c r="A35" s="106" t="s">
        <v>141</v>
      </c>
      <c r="B35" s="104">
        <v>16.899999999999999</v>
      </c>
      <c r="E35" s="273" t="s">
        <v>45</v>
      </c>
      <c r="F35" s="82" t="s">
        <v>159</v>
      </c>
      <c r="G35" s="15">
        <v>-5.56</v>
      </c>
      <c r="H35" s="15">
        <v>-5.56</v>
      </c>
      <c r="I35" s="16">
        <f t="shared" si="8"/>
        <v>0</v>
      </c>
      <c r="J35" s="273" t="s">
        <v>45</v>
      </c>
      <c r="K35" s="82" t="s">
        <v>159</v>
      </c>
      <c r="L35" s="15">
        <v>-5.43</v>
      </c>
      <c r="M35" s="15">
        <v>-5.43</v>
      </c>
      <c r="N35" s="16">
        <f t="shared" si="9"/>
        <v>0</v>
      </c>
      <c r="O35" s="273" t="s">
        <v>45</v>
      </c>
      <c r="P35" s="82" t="s">
        <v>159</v>
      </c>
      <c r="Q35" s="15">
        <v>-8.2100000000000006E-2</v>
      </c>
      <c r="R35" s="15">
        <v>-8.2100000000000006E-2</v>
      </c>
      <c r="S35" s="16">
        <f t="shared" si="10"/>
        <v>0</v>
      </c>
      <c r="T35" s="273" t="s">
        <v>45</v>
      </c>
      <c r="U35" s="82" t="s">
        <v>159</v>
      </c>
      <c r="V35" s="15">
        <v>-5.56</v>
      </c>
      <c r="W35" s="15">
        <v>-5.56</v>
      </c>
      <c r="X35" s="16">
        <f t="shared" si="11"/>
        <v>0</v>
      </c>
    </row>
    <row r="36" spans="1:24" ht="15.75" thickBot="1" x14ac:dyDescent="0.3">
      <c r="A36" s="106" t="s">
        <v>142</v>
      </c>
      <c r="B36" s="104">
        <v>1</v>
      </c>
      <c r="E36" s="274"/>
      <c r="F36" s="85" t="s">
        <v>160</v>
      </c>
      <c r="G36" s="20">
        <v>13.1</v>
      </c>
      <c r="H36" s="20">
        <v>13.2</v>
      </c>
      <c r="I36" s="21">
        <f t="shared" si="8"/>
        <v>-7.6045627376425595E-3</v>
      </c>
      <c r="J36" s="274"/>
      <c r="K36" s="85" t="s">
        <v>160</v>
      </c>
      <c r="L36" s="20">
        <v>0.47599999999999998</v>
      </c>
      <c r="M36" s="20">
        <v>0.47599999999999998</v>
      </c>
      <c r="N36" s="21">
        <f t="shared" si="9"/>
        <v>0</v>
      </c>
      <c r="O36" s="274"/>
      <c r="P36" s="85" t="s">
        <v>160</v>
      </c>
      <c r="Q36" s="94"/>
      <c r="R36" s="94"/>
      <c r="S36" s="95"/>
      <c r="T36" s="274"/>
      <c r="U36" s="85" t="s">
        <v>160</v>
      </c>
      <c r="V36" s="20">
        <v>20.8</v>
      </c>
      <c r="W36" s="20">
        <v>20.7</v>
      </c>
      <c r="X36" s="21">
        <f t="shared" si="11"/>
        <v>4.819277108433803E-3</v>
      </c>
    </row>
    <row r="37" spans="1:24" x14ac:dyDescent="0.25">
      <c r="A37" s="106" t="s">
        <v>143</v>
      </c>
      <c r="B37" s="104">
        <v>1</v>
      </c>
      <c r="E37" s="273" t="s">
        <v>164</v>
      </c>
      <c r="F37" s="82" t="s">
        <v>159</v>
      </c>
      <c r="G37" s="15">
        <v>-5.56</v>
      </c>
      <c r="H37" s="15">
        <v>-5.56</v>
      </c>
      <c r="I37" s="16">
        <f t="shared" si="8"/>
        <v>0</v>
      </c>
      <c r="J37" s="273" t="s">
        <v>164</v>
      </c>
      <c r="K37" s="82" t="s">
        <v>159</v>
      </c>
      <c r="L37" s="15">
        <v>-5.43</v>
      </c>
      <c r="M37" s="15">
        <v>-5.43</v>
      </c>
      <c r="N37" s="16">
        <f t="shared" si="9"/>
        <v>0</v>
      </c>
      <c r="O37" s="273" t="s">
        <v>164</v>
      </c>
      <c r="P37" s="82" t="s">
        <v>159</v>
      </c>
      <c r="Q37" s="15">
        <v>-8.2100000000000006E-2</v>
      </c>
      <c r="R37" s="15">
        <v>-8.2100000000000006E-2</v>
      </c>
      <c r="S37" s="16">
        <f t="shared" si="10"/>
        <v>0</v>
      </c>
      <c r="T37" s="273" t="s">
        <v>164</v>
      </c>
      <c r="U37" s="82" t="s">
        <v>159</v>
      </c>
      <c r="V37" s="15">
        <v>-5.56</v>
      </c>
      <c r="W37" s="15">
        <v>-5.56</v>
      </c>
      <c r="X37" s="16">
        <f t="shared" si="11"/>
        <v>0</v>
      </c>
    </row>
    <row r="38" spans="1:24" ht="15.75" thickBot="1" x14ac:dyDescent="0.3">
      <c r="A38" s="106" t="s">
        <v>144</v>
      </c>
      <c r="B38" s="104">
        <v>0.41</v>
      </c>
      <c r="E38" s="274"/>
      <c r="F38" s="85" t="s">
        <v>160</v>
      </c>
      <c r="G38" s="20">
        <v>52.6</v>
      </c>
      <c r="H38" s="20">
        <v>52.7</v>
      </c>
      <c r="I38" s="21">
        <f t="shared" si="8"/>
        <v>-1.8993352326685928E-3</v>
      </c>
      <c r="J38" s="274"/>
      <c r="K38" s="85" t="s">
        <v>160</v>
      </c>
      <c r="L38" s="20">
        <v>28.1</v>
      </c>
      <c r="M38" s="20">
        <v>28</v>
      </c>
      <c r="N38" s="21">
        <f t="shared" si="9"/>
        <v>3.5650623885918509E-3</v>
      </c>
      <c r="O38" s="274"/>
      <c r="P38" s="85" t="s">
        <v>160</v>
      </c>
      <c r="Q38" s="94"/>
      <c r="R38" s="94"/>
      <c r="S38" s="95"/>
      <c r="T38" s="274"/>
      <c r="U38" s="85" t="s">
        <v>160</v>
      </c>
      <c r="V38" s="20">
        <v>104</v>
      </c>
      <c r="W38" s="20">
        <v>104</v>
      </c>
      <c r="X38" s="21">
        <f t="shared" si="11"/>
        <v>0</v>
      </c>
    </row>
    <row r="39" spans="1:24" x14ac:dyDescent="0.25">
      <c r="A39" s="106" t="s">
        <v>145</v>
      </c>
      <c r="B39" s="104">
        <v>4.7</v>
      </c>
      <c r="H39" s="177"/>
    </row>
    <row r="40" spans="1:24" x14ac:dyDescent="0.25">
      <c r="A40" s="106" t="s">
        <v>146</v>
      </c>
      <c r="B40" s="104">
        <v>1</v>
      </c>
      <c r="H40" s="177"/>
      <c r="J40" s="178"/>
      <c r="K40" s="178"/>
      <c r="L40" s="178"/>
      <c r="M40" s="178"/>
      <c r="N40" s="178"/>
      <c r="O40" s="178"/>
      <c r="P40" s="178"/>
      <c r="R40" s="177"/>
      <c r="W40" s="177"/>
    </row>
    <row r="41" spans="1:24" x14ac:dyDescent="0.25">
      <c r="A41" s="106" t="s">
        <v>147</v>
      </c>
      <c r="B41" s="104">
        <v>1</v>
      </c>
      <c r="H41" s="177"/>
      <c r="J41" s="6"/>
      <c r="K41" s="6"/>
      <c r="L41" s="6"/>
      <c r="M41" s="6"/>
      <c r="N41" s="6"/>
      <c r="O41" s="6"/>
      <c r="P41" s="6"/>
      <c r="R41" s="177"/>
      <c r="W41" s="177"/>
    </row>
    <row r="42" spans="1:24" x14ac:dyDescent="0.25">
      <c r="A42" s="106" t="s">
        <v>148</v>
      </c>
      <c r="B42" s="104">
        <v>0.37</v>
      </c>
      <c r="H42" s="177"/>
      <c r="J42" s="6"/>
      <c r="K42" s="6"/>
      <c r="L42" s="6"/>
      <c r="M42" s="6"/>
      <c r="N42" s="6"/>
      <c r="O42" s="6"/>
      <c r="P42" s="6"/>
      <c r="R42" s="177"/>
      <c r="W42" s="177"/>
    </row>
    <row r="43" spans="1:24" x14ac:dyDescent="0.25">
      <c r="A43" s="107" t="s">
        <v>150</v>
      </c>
      <c r="B43" s="108">
        <f>$B$48*EXP((((LN($B$49))-$B$50)^2)/$B$51)</f>
        <v>93.773582452087695</v>
      </c>
      <c r="H43" s="177"/>
      <c r="J43" s="6"/>
      <c r="K43" s="6"/>
      <c r="L43" s="6"/>
      <c r="M43" s="6"/>
      <c r="N43" s="6"/>
      <c r="O43" s="6"/>
      <c r="P43" s="6"/>
      <c r="R43" s="177"/>
      <c r="W43" s="177"/>
    </row>
    <row r="44" spans="1:24" x14ac:dyDescent="0.25">
      <c r="A44" s="109" t="s">
        <v>158</v>
      </c>
      <c r="B44" s="104">
        <v>0.5</v>
      </c>
      <c r="H44" s="177"/>
      <c r="J44" s="6"/>
      <c r="K44" s="6"/>
      <c r="L44" s="6"/>
      <c r="M44" s="6"/>
      <c r="N44" s="6"/>
      <c r="O44" s="6"/>
      <c r="P44" s="6"/>
      <c r="R44" s="177"/>
      <c r="W44" s="177"/>
    </row>
    <row r="45" spans="1:24" x14ac:dyDescent="0.25">
      <c r="A45" s="109" t="s">
        <v>151</v>
      </c>
      <c r="B45" s="104">
        <v>4.6900000000000004</v>
      </c>
      <c r="H45" s="177"/>
      <c r="J45" s="6"/>
      <c r="K45" s="6"/>
      <c r="L45" s="6"/>
      <c r="M45" s="6"/>
      <c r="N45" s="6"/>
      <c r="O45" s="6"/>
      <c r="P45" s="6"/>
      <c r="R45" s="177"/>
      <c r="W45" s="177"/>
    </row>
    <row r="46" spans="1:24" x14ac:dyDescent="0.25">
      <c r="A46" s="109" t="s">
        <v>152</v>
      </c>
      <c r="B46" s="104">
        <v>11.32</v>
      </c>
      <c r="J46" s="6"/>
      <c r="K46" s="6"/>
      <c r="L46" s="6"/>
      <c r="M46" s="6"/>
      <c r="N46" s="6"/>
      <c r="O46" s="6"/>
      <c r="P46" s="6"/>
    </row>
    <row r="47" spans="1:24" x14ac:dyDescent="0.25">
      <c r="A47" s="109" t="s">
        <v>153</v>
      </c>
      <c r="B47" s="104">
        <v>0.19400000000000001</v>
      </c>
      <c r="J47" s="6"/>
      <c r="K47" s="6"/>
      <c r="L47" s="6"/>
      <c r="M47" s="6"/>
      <c r="N47" s="6"/>
      <c r="O47" s="6"/>
      <c r="P47" s="6"/>
    </row>
    <row r="48" spans="1:24" x14ac:dyDescent="0.25">
      <c r="A48" s="109" t="s">
        <v>154</v>
      </c>
      <c r="B48" s="104">
        <v>16.2302</v>
      </c>
      <c r="J48" s="6"/>
      <c r="K48" s="6"/>
      <c r="L48" s="6"/>
      <c r="M48" s="6"/>
      <c r="N48" s="6"/>
      <c r="O48" s="6"/>
      <c r="P48" s="6"/>
    </row>
    <row r="49" spans="1:16" x14ac:dyDescent="0.25">
      <c r="A49" s="109" t="s">
        <v>155</v>
      </c>
      <c r="B49" s="104">
        <v>0.5</v>
      </c>
      <c r="J49" s="6"/>
      <c r="K49" s="6"/>
      <c r="L49" s="6"/>
      <c r="M49" s="6"/>
      <c r="N49" s="6"/>
      <c r="O49" s="6"/>
      <c r="P49" s="6"/>
    </row>
    <row r="50" spans="1:16" x14ac:dyDescent="0.25">
      <c r="A50" s="109" t="s">
        <v>156</v>
      </c>
      <c r="B50" s="104">
        <v>18.776199999999999</v>
      </c>
    </row>
    <row r="51" spans="1:16" x14ac:dyDescent="0.25">
      <c r="A51" s="109" t="s">
        <v>157</v>
      </c>
      <c r="B51" s="104">
        <v>216.108</v>
      </c>
    </row>
    <row r="52" spans="1:16" x14ac:dyDescent="0.25">
      <c r="A52" s="103" t="s">
        <v>86</v>
      </c>
      <c r="B52" s="104">
        <v>3.62</v>
      </c>
    </row>
    <row r="53" spans="1:16" x14ac:dyDescent="0.25">
      <c r="A53" s="103" t="s">
        <v>87</v>
      </c>
      <c r="B53" s="104">
        <v>0.25</v>
      </c>
    </row>
    <row r="54" spans="1:16" x14ac:dyDescent="0.25">
      <c r="A54" s="103" t="s">
        <v>88</v>
      </c>
      <c r="B54" s="104">
        <v>10950</v>
      </c>
    </row>
    <row r="55" spans="1:16" x14ac:dyDescent="0.25">
      <c r="A55" s="103" t="s">
        <v>89</v>
      </c>
      <c r="B55" s="104">
        <v>240</v>
      </c>
    </row>
    <row r="56" spans="1:16" x14ac:dyDescent="0.25">
      <c r="A56" s="103" t="s">
        <v>90</v>
      </c>
      <c r="B56" s="104">
        <v>0.26</v>
      </c>
    </row>
    <row r="57" spans="1:16" x14ac:dyDescent="0.25">
      <c r="A57" s="103" t="s">
        <v>91</v>
      </c>
      <c r="B57" s="104">
        <v>0.42</v>
      </c>
    </row>
    <row r="58" spans="1:16" x14ac:dyDescent="0.25">
      <c r="A58" s="103" t="s">
        <v>92</v>
      </c>
      <c r="B58" s="104">
        <v>1</v>
      </c>
    </row>
    <row r="59" spans="1:16" x14ac:dyDescent="0.25">
      <c r="A59" s="103" t="s">
        <v>93</v>
      </c>
      <c r="B59" s="104">
        <v>60</v>
      </c>
    </row>
    <row r="60" spans="1:16" x14ac:dyDescent="0.25">
      <c r="A60" s="103" t="s">
        <v>94</v>
      </c>
      <c r="B60" s="104">
        <v>2</v>
      </c>
    </row>
    <row r="61" spans="1:16" x14ac:dyDescent="0.25">
      <c r="A61" s="103" t="s">
        <v>95</v>
      </c>
      <c r="B61" s="104">
        <v>0.4</v>
      </c>
    </row>
    <row r="62" spans="1:16" x14ac:dyDescent="0.25">
      <c r="A62" s="103" t="s">
        <v>95</v>
      </c>
      <c r="B62" s="104">
        <v>0.4</v>
      </c>
    </row>
    <row r="63" spans="1:16" x14ac:dyDescent="0.25">
      <c r="A63" s="103" t="s">
        <v>96</v>
      </c>
      <c r="B63" s="104">
        <v>53</v>
      </c>
    </row>
    <row r="64" spans="1:16" x14ac:dyDescent="0.25">
      <c r="A64" s="106" t="s">
        <v>97</v>
      </c>
      <c r="B64" s="104">
        <f>1/1.03</f>
        <v>0.970873786407767</v>
      </c>
    </row>
    <row r="65" spans="1:2" x14ac:dyDescent="0.25">
      <c r="A65" s="106" t="s">
        <v>98</v>
      </c>
      <c r="B65" s="104">
        <v>92</v>
      </c>
    </row>
    <row r="66" spans="1:2" ht="15.75" thickBot="1" x14ac:dyDescent="0.3">
      <c r="A66" s="110" t="s">
        <v>99</v>
      </c>
      <c r="B66" s="111">
        <v>11.4</v>
      </c>
    </row>
  </sheetData>
  <mergeCells count="43">
    <mergeCell ref="G8:H8"/>
    <mergeCell ref="D19:D21"/>
    <mergeCell ref="D16:D18"/>
    <mergeCell ref="D13:D15"/>
    <mergeCell ref="D10:D12"/>
    <mergeCell ref="E8:F8"/>
    <mergeCell ref="I8:J8"/>
    <mergeCell ref="K8:L8"/>
    <mergeCell ref="M8:N8"/>
    <mergeCell ref="O8:P8"/>
    <mergeCell ref="Q8:R8"/>
    <mergeCell ref="E37:E38"/>
    <mergeCell ref="E35:E36"/>
    <mergeCell ref="E33:E34"/>
    <mergeCell ref="E31:E32"/>
    <mergeCell ref="E29:E30"/>
    <mergeCell ref="E25:E26"/>
    <mergeCell ref="E23:I23"/>
    <mergeCell ref="J23:N23"/>
    <mergeCell ref="J25:J26"/>
    <mergeCell ref="J27:J28"/>
    <mergeCell ref="E27:E28"/>
    <mergeCell ref="J31:J32"/>
    <mergeCell ref="J33:J34"/>
    <mergeCell ref="J35:J36"/>
    <mergeCell ref="J37:J38"/>
    <mergeCell ref="O23:S23"/>
    <mergeCell ref="O25:O26"/>
    <mergeCell ref="O27:O28"/>
    <mergeCell ref="O29:O30"/>
    <mergeCell ref="O31:O32"/>
    <mergeCell ref="O33:O34"/>
    <mergeCell ref="J29:J30"/>
    <mergeCell ref="O35:O36"/>
    <mergeCell ref="O37:O38"/>
    <mergeCell ref="T33:T34"/>
    <mergeCell ref="T35:T36"/>
    <mergeCell ref="T37:T38"/>
    <mergeCell ref="T23:X23"/>
    <mergeCell ref="T25:T26"/>
    <mergeCell ref="T27:T28"/>
    <mergeCell ref="T29:T30"/>
    <mergeCell ref="T31:T32"/>
  </mergeCells>
  <conditionalFormatting sqref="X25:X38">
    <cfRule type="cellIs" dxfId="7" priority="2" operator="notEqual">
      <formula>0</formula>
    </cfRule>
  </conditionalFormatting>
  <conditionalFormatting sqref="X25:X38">
    <cfRule type="cellIs" dxfId="6" priority="1" operator="lessThan">
      <formula>-0.01</formula>
    </cfRule>
  </conditionalFormatting>
  <conditionalFormatting sqref="I25:I38">
    <cfRule type="cellIs" dxfId="5" priority="8" operator="notEqual">
      <formula>0</formula>
    </cfRule>
  </conditionalFormatting>
  <conditionalFormatting sqref="I25:I38">
    <cfRule type="cellIs" dxfId="4" priority="7" operator="lessThan">
      <formula>-0.01</formula>
    </cfRule>
  </conditionalFormatting>
  <conditionalFormatting sqref="N25:N38">
    <cfRule type="cellIs" dxfId="3" priority="6" operator="notEqual">
      <formula>0</formula>
    </cfRule>
  </conditionalFormatting>
  <conditionalFormatting sqref="N25:N38">
    <cfRule type="cellIs" dxfId="2" priority="5" operator="lessThan">
      <formula>-0.01</formula>
    </cfRule>
  </conditionalFormatting>
  <conditionalFormatting sqref="S25:S38">
    <cfRule type="cellIs" dxfId="1" priority="4" operator="notEqual">
      <formula>0</formula>
    </cfRule>
  </conditionalFormatting>
  <conditionalFormatting sqref="S25:S38">
    <cfRule type="cellIs" dxfId="0" priority="3" operator="lessThan">
      <formula>-0.01</formula>
    </cfRule>
  </conditionalFormatting>
  <pageMargins left="0.7" right="0.7" top="0.75" bottom="0.75" header="0.3" footer="0.3"/>
  <pageSetup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A7" zoomScale="55" zoomScaleNormal="55" workbookViewId="0">
      <selection activeCell="AA24" sqref="AA24"/>
    </sheetView>
  </sheetViews>
  <sheetFormatPr defaultRowHeight="15" x14ac:dyDescent="0.25"/>
  <cols>
    <col min="2" max="2" width="12.85546875" bestFit="1" customWidth="1"/>
    <col min="3" max="3" width="11.7109375" bestFit="1" customWidth="1"/>
    <col min="4" max="4" width="10.28515625" bestFit="1" customWidth="1"/>
    <col min="6" max="6" width="10.28515625" bestFit="1" customWidth="1"/>
    <col min="15" max="15" width="12.7109375" bestFit="1" customWidth="1"/>
    <col min="16" max="16" width="8.28515625" bestFit="1" customWidth="1"/>
    <col min="17" max="17" width="12.42578125" bestFit="1" customWidth="1"/>
    <col min="18" max="18" width="11.7109375" bestFit="1" customWidth="1"/>
  </cols>
  <sheetData>
    <row r="1" spans="1:35" x14ac:dyDescent="0.25">
      <c r="A1" s="286" t="s">
        <v>179</v>
      </c>
      <c r="B1" s="287"/>
      <c r="C1" s="287"/>
      <c r="D1" s="287"/>
      <c r="E1" s="287"/>
      <c r="F1" s="287"/>
      <c r="G1" s="287"/>
      <c r="H1" s="287"/>
      <c r="I1" s="288"/>
    </row>
    <row r="2" spans="1:35" x14ac:dyDescent="0.25">
      <c r="A2" s="185"/>
      <c r="B2" s="186" t="s">
        <v>205</v>
      </c>
      <c r="C2" s="186" t="s">
        <v>180</v>
      </c>
      <c r="D2" s="186" t="s">
        <v>181</v>
      </c>
      <c r="E2" s="186" t="s">
        <v>182</v>
      </c>
      <c r="F2" s="186" t="s">
        <v>183</v>
      </c>
      <c r="G2" s="186" t="s">
        <v>184</v>
      </c>
      <c r="H2" s="186" t="s">
        <v>71</v>
      </c>
      <c r="I2" s="187" t="s">
        <v>167</v>
      </c>
    </row>
    <row r="3" spans="1:35" x14ac:dyDescent="0.25">
      <c r="A3" s="188" t="s">
        <v>2</v>
      </c>
      <c r="B3" s="171" t="s">
        <v>185</v>
      </c>
      <c r="C3" s="178">
        <v>1.8699999999999999E-8</v>
      </c>
      <c r="D3" s="178">
        <v>2.77E-8</v>
      </c>
      <c r="E3" s="178">
        <v>1.3799999999999999E-8</v>
      </c>
      <c r="F3" s="178">
        <v>2.5799999999999999E-8</v>
      </c>
      <c r="G3" s="178">
        <v>2.77E-8</v>
      </c>
      <c r="H3" s="178">
        <v>1.3199999999999999E-13</v>
      </c>
      <c r="I3" s="189">
        <f>0.0000581/(10^6)</f>
        <v>5.8100000000000005E-11</v>
      </c>
    </row>
    <row r="4" spans="1:35" x14ac:dyDescent="0.25">
      <c r="A4" s="188" t="s">
        <v>3</v>
      </c>
      <c r="B4" s="171" t="s">
        <v>185</v>
      </c>
      <c r="C4" s="178">
        <v>2.1900000000000002E-6</v>
      </c>
      <c r="D4" s="178">
        <v>1.24E-5</v>
      </c>
      <c r="E4" s="178">
        <v>2.26E-6</v>
      </c>
      <c r="F4" s="178">
        <v>6.4899999999999997E-6</v>
      </c>
      <c r="G4" s="178">
        <v>1.04E-5</v>
      </c>
      <c r="H4" s="178">
        <v>2.4400000000000001E-11</v>
      </c>
      <c r="I4" s="189">
        <f>0.0113/(10^6)</f>
        <v>1.1299999999999999E-8</v>
      </c>
    </row>
    <row r="5" spans="1:35" x14ac:dyDescent="0.25">
      <c r="A5" s="188" t="s">
        <v>4</v>
      </c>
      <c r="B5" s="171" t="s">
        <v>158</v>
      </c>
      <c r="C5" s="178">
        <v>0</v>
      </c>
      <c r="D5" s="178">
        <v>0</v>
      </c>
      <c r="E5" s="178">
        <v>0</v>
      </c>
      <c r="F5" s="178">
        <v>0</v>
      </c>
      <c r="G5" s="178">
        <v>0</v>
      </c>
      <c r="H5" s="178">
        <v>0</v>
      </c>
      <c r="I5" s="189">
        <v>0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</row>
    <row r="6" spans="1:35" x14ac:dyDescent="0.25">
      <c r="A6" s="188" t="s">
        <v>4</v>
      </c>
      <c r="B6" s="171" t="s">
        <v>185</v>
      </c>
      <c r="C6" s="178">
        <v>0</v>
      </c>
      <c r="D6" s="178">
        <v>0</v>
      </c>
      <c r="E6" s="178">
        <v>0</v>
      </c>
      <c r="F6" s="178">
        <v>0</v>
      </c>
      <c r="G6" s="178">
        <v>0</v>
      </c>
      <c r="H6" s="178">
        <v>0</v>
      </c>
      <c r="I6" s="189">
        <v>0</v>
      </c>
      <c r="L6" s="225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</row>
    <row r="7" spans="1:35" ht="15.75" thickBot="1" x14ac:dyDescent="0.3">
      <c r="A7" s="193" t="s">
        <v>5</v>
      </c>
      <c r="B7" s="194" t="s">
        <v>185</v>
      </c>
      <c r="C7" s="195">
        <v>3.6800000000000002E-10</v>
      </c>
      <c r="D7" s="195">
        <v>6.9200000000000004E-11</v>
      </c>
      <c r="E7" s="195">
        <v>4.8100000000000001E-11</v>
      </c>
      <c r="F7" s="195">
        <v>6.3000000000000002E-11</v>
      </c>
      <c r="G7" s="195">
        <v>6.8700000000000006E-11</v>
      </c>
      <c r="H7" s="195">
        <v>5.9600000000000002E-16</v>
      </c>
      <c r="I7" s="196">
        <f>0.000000256/(10^6)</f>
        <v>2.5600000000000002E-13</v>
      </c>
      <c r="L7" s="225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35" ht="15.75" thickBot="1" x14ac:dyDescent="0.3">
      <c r="L8" s="225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35" x14ac:dyDescent="0.25">
      <c r="A9" s="289" t="s">
        <v>62</v>
      </c>
      <c r="B9" s="290"/>
      <c r="C9" s="290"/>
      <c r="D9" s="290"/>
      <c r="E9" s="290"/>
      <c r="F9" s="291"/>
      <c r="L9" s="225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5" x14ac:dyDescent="0.25">
      <c r="A10" s="197"/>
      <c r="B10" s="198" t="s">
        <v>205</v>
      </c>
      <c r="C10" s="198" t="s">
        <v>69</v>
      </c>
      <c r="D10" s="198" t="s">
        <v>6</v>
      </c>
      <c r="E10" s="198" t="s">
        <v>174</v>
      </c>
      <c r="F10" s="199" t="s">
        <v>204</v>
      </c>
      <c r="K10" s="224"/>
      <c r="L10" s="225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224"/>
      <c r="AE10" s="224"/>
      <c r="AF10" s="224"/>
      <c r="AG10" s="224"/>
      <c r="AH10" s="224"/>
      <c r="AI10" s="224"/>
    </row>
    <row r="11" spans="1:35" x14ac:dyDescent="0.25">
      <c r="A11" s="188" t="s">
        <v>2</v>
      </c>
      <c r="B11" s="171" t="s">
        <v>185</v>
      </c>
      <c r="C11" s="178">
        <v>1.04E-10</v>
      </c>
      <c r="D11" s="178">
        <v>1.34E-10</v>
      </c>
      <c r="E11" s="178">
        <v>1.8400000000000001E-10</v>
      </c>
      <c r="F11" s="189">
        <v>9.0999999999999996E-11</v>
      </c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</row>
    <row r="12" spans="1:35" x14ac:dyDescent="0.25">
      <c r="A12" s="188" t="s">
        <v>3</v>
      </c>
      <c r="B12" s="171" t="s">
        <v>185</v>
      </c>
      <c r="C12" s="178">
        <v>1.58E-11</v>
      </c>
      <c r="D12" s="178">
        <v>2.23E-11</v>
      </c>
      <c r="E12" s="178">
        <v>3.8100000000000003E-11</v>
      </c>
      <c r="F12" s="189">
        <v>7.3300000000000005E-12</v>
      </c>
      <c r="K12" s="224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24"/>
      <c r="AE12" s="224"/>
      <c r="AF12" s="224"/>
      <c r="AG12" s="224"/>
      <c r="AH12" s="224"/>
      <c r="AI12" s="224"/>
    </row>
    <row r="13" spans="1:35" x14ac:dyDescent="0.25">
      <c r="A13" s="188" t="s">
        <v>4</v>
      </c>
      <c r="B13" s="171" t="s">
        <v>158</v>
      </c>
      <c r="C13" s="178">
        <v>5.0700000000000001E-14</v>
      </c>
      <c r="D13" s="178">
        <v>6.5099999999999995E-14</v>
      </c>
      <c r="E13" s="178">
        <v>8.9900000000000001E-14</v>
      </c>
      <c r="F13" s="189">
        <v>4.5099999999999998E-14</v>
      </c>
      <c r="K13" s="224"/>
      <c r="L13" s="225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4"/>
      <c r="AE13" s="224"/>
      <c r="AF13" s="224"/>
      <c r="AG13" s="224"/>
      <c r="AH13" s="224"/>
      <c r="AI13" s="224"/>
    </row>
    <row r="14" spans="1:35" x14ac:dyDescent="0.25">
      <c r="A14" s="188" t="s">
        <v>4</v>
      </c>
      <c r="B14" s="171" t="s">
        <v>185</v>
      </c>
      <c r="C14" s="178">
        <v>1.12E-13</v>
      </c>
      <c r="D14" s="178">
        <v>1.4399999999999999E-13</v>
      </c>
      <c r="E14" s="178">
        <v>0</v>
      </c>
      <c r="F14" s="189">
        <v>0</v>
      </c>
      <c r="K14" s="224"/>
      <c r="L14" s="225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224"/>
      <c r="AE14" s="224"/>
      <c r="AF14" s="224"/>
      <c r="AG14" s="224"/>
      <c r="AH14" s="224"/>
      <c r="AI14" s="224"/>
    </row>
    <row r="15" spans="1:35" ht="15.75" thickBot="1" x14ac:dyDescent="0.3">
      <c r="A15" s="193" t="s">
        <v>5</v>
      </c>
      <c r="B15" s="194" t="s">
        <v>185</v>
      </c>
      <c r="C15" s="195">
        <v>1.3100000000000001E-10</v>
      </c>
      <c r="D15" s="195">
        <v>1.6900000000000001E-10</v>
      </c>
      <c r="E15" s="195">
        <v>2.25E-10</v>
      </c>
      <c r="F15" s="196">
        <v>1.1700000000000001E-10</v>
      </c>
      <c r="K15" s="224"/>
      <c r="L15" s="225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224"/>
      <c r="AE15" s="224"/>
      <c r="AF15" s="224"/>
      <c r="AG15" s="224"/>
      <c r="AH15" s="224"/>
      <c r="AI15" s="224"/>
    </row>
    <row r="16" spans="1:35" ht="15.75" thickBot="1" x14ac:dyDescent="0.3">
      <c r="K16" s="224"/>
      <c r="L16" s="225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224"/>
      <c r="AE16" s="224"/>
      <c r="AF16" s="224"/>
      <c r="AG16" s="224"/>
      <c r="AH16" s="224"/>
      <c r="AI16" s="224"/>
    </row>
    <row r="17" spans="1:35" x14ac:dyDescent="0.25">
      <c r="A17" s="292" t="s">
        <v>57</v>
      </c>
      <c r="B17" s="293"/>
      <c r="C17" s="294"/>
      <c r="D17" s="224"/>
      <c r="K17" s="224"/>
      <c r="L17" s="225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224"/>
      <c r="AE17" s="224"/>
      <c r="AF17" s="224"/>
      <c r="AG17" s="224"/>
      <c r="AH17" s="224"/>
      <c r="AI17" s="224"/>
    </row>
    <row r="18" spans="1:35" x14ac:dyDescent="0.25">
      <c r="A18" s="203"/>
      <c r="B18" s="204" t="s">
        <v>209</v>
      </c>
      <c r="C18" s="205" t="s">
        <v>70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</row>
    <row r="19" spans="1:35" x14ac:dyDescent="0.25">
      <c r="A19" s="188" t="s">
        <v>2</v>
      </c>
      <c r="B19" s="171" t="s">
        <v>87</v>
      </c>
      <c r="C19" s="206">
        <v>3.77E-8</v>
      </c>
      <c r="D19" s="234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</row>
    <row r="20" spans="1:35" x14ac:dyDescent="0.25">
      <c r="A20" s="188" t="s">
        <v>2</v>
      </c>
      <c r="B20" s="171" t="s">
        <v>185</v>
      </c>
      <c r="C20" s="206">
        <v>2.81E-8</v>
      </c>
      <c r="D20" s="232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</row>
    <row r="21" spans="1:35" x14ac:dyDescent="0.25">
      <c r="A21" s="188" t="s">
        <v>2</v>
      </c>
      <c r="B21" s="171" t="s">
        <v>206</v>
      </c>
      <c r="C21" s="207">
        <v>3.5399999999999999E-8</v>
      </c>
      <c r="D21" s="232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</row>
    <row r="22" spans="1:35" x14ac:dyDescent="0.25">
      <c r="A22" s="188" t="s">
        <v>3</v>
      </c>
      <c r="B22" s="171" t="s">
        <v>87</v>
      </c>
      <c r="C22" s="207">
        <v>1.7100000000000001E-11</v>
      </c>
      <c r="D22" s="232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</row>
    <row r="23" spans="1:35" x14ac:dyDescent="0.25">
      <c r="A23" s="188" t="s">
        <v>3</v>
      </c>
      <c r="B23" s="171" t="s">
        <v>185</v>
      </c>
      <c r="C23" s="189">
        <v>3.59E-11</v>
      </c>
      <c r="D23" s="232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</row>
    <row r="24" spans="1:35" x14ac:dyDescent="0.25">
      <c r="A24" s="188" t="s">
        <v>3</v>
      </c>
      <c r="B24" s="171" t="s">
        <v>206</v>
      </c>
      <c r="C24" s="189">
        <v>1.01E-10</v>
      </c>
      <c r="D24" s="232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</row>
    <row r="25" spans="1:35" x14ac:dyDescent="0.25">
      <c r="A25" s="208" t="s">
        <v>4</v>
      </c>
      <c r="B25" s="171" t="s">
        <v>87</v>
      </c>
      <c r="C25" s="189">
        <v>1.9499999999999999E-14</v>
      </c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</row>
    <row r="26" spans="1:35" x14ac:dyDescent="0.25">
      <c r="A26" s="208" t="s">
        <v>4</v>
      </c>
      <c r="B26" s="171" t="s">
        <v>185</v>
      </c>
      <c r="C26" s="189">
        <v>1.9900000000000001E-13</v>
      </c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</row>
    <row r="27" spans="1:35" x14ac:dyDescent="0.25">
      <c r="A27" s="208" t="s">
        <v>4</v>
      </c>
      <c r="B27" s="171" t="s">
        <v>206</v>
      </c>
      <c r="C27" s="189">
        <v>8.4700000000000003E-13</v>
      </c>
      <c r="D27" s="234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</row>
    <row r="28" spans="1:35" x14ac:dyDescent="0.25">
      <c r="A28" s="208" t="s">
        <v>4</v>
      </c>
      <c r="B28" s="171" t="s">
        <v>158</v>
      </c>
      <c r="C28" s="189">
        <v>5.6200000000000003E-14</v>
      </c>
      <c r="D28" s="232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</row>
    <row r="29" spans="1:35" x14ac:dyDescent="0.25">
      <c r="A29" s="208" t="s">
        <v>4</v>
      </c>
      <c r="B29" s="171" t="s">
        <v>207</v>
      </c>
      <c r="C29" s="189">
        <v>5.6200000000000001E-18</v>
      </c>
      <c r="D29" s="232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</row>
    <row r="30" spans="1:35" x14ac:dyDescent="0.25">
      <c r="A30" s="208" t="s">
        <v>4</v>
      </c>
      <c r="B30" s="171" t="s">
        <v>208</v>
      </c>
      <c r="C30" s="189">
        <v>1.2800000000000001E-13</v>
      </c>
      <c r="D30" s="232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</row>
    <row r="31" spans="1:35" x14ac:dyDescent="0.25">
      <c r="A31" s="208" t="s">
        <v>5</v>
      </c>
      <c r="B31" s="171" t="s">
        <v>87</v>
      </c>
      <c r="C31" s="189">
        <v>5.2199999999999998E-8</v>
      </c>
      <c r="D31" s="232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</row>
    <row r="32" spans="1:35" x14ac:dyDescent="0.25">
      <c r="A32" s="208" t="s">
        <v>5</v>
      </c>
      <c r="B32" s="171" t="s">
        <v>185</v>
      </c>
      <c r="C32" s="189">
        <v>3.3600000000000003E-8</v>
      </c>
      <c r="D32" s="232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</row>
    <row r="33" spans="1:18" ht="15.75" thickBot="1" x14ac:dyDescent="0.3">
      <c r="A33" s="209" t="s">
        <v>5</v>
      </c>
      <c r="B33" s="194" t="s">
        <v>206</v>
      </c>
      <c r="C33" s="196">
        <v>3.55E-8</v>
      </c>
      <c r="D33" s="224"/>
      <c r="E33" s="224"/>
      <c r="F33" s="224"/>
      <c r="G33" s="224"/>
      <c r="H33" s="224"/>
      <c r="I33" s="224"/>
      <c r="J33" s="224"/>
      <c r="K33" s="224"/>
    </row>
    <row r="34" spans="1:18" ht="15.75" thickBot="1" x14ac:dyDescent="0.3">
      <c r="D34" s="235"/>
    </row>
    <row r="35" spans="1:18" x14ac:dyDescent="0.25">
      <c r="A35" s="280" t="s">
        <v>186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2"/>
    </row>
    <row r="36" spans="1:18" x14ac:dyDescent="0.25">
      <c r="A36" s="190"/>
      <c r="B36" s="191" t="s">
        <v>187</v>
      </c>
      <c r="C36" s="191" t="s">
        <v>188</v>
      </c>
      <c r="D36" s="191" t="s">
        <v>189</v>
      </c>
      <c r="E36" s="191" t="s">
        <v>190</v>
      </c>
      <c r="F36" s="191" t="s">
        <v>191</v>
      </c>
      <c r="G36" s="191" t="s">
        <v>192</v>
      </c>
      <c r="H36" s="191" t="s">
        <v>193</v>
      </c>
      <c r="I36" s="191" t="s">
        <v>194</v>
      </c>
      <c r="J36" s="191" t="s">
        <v>195</v>
      </c>
      <c r="K36" s="191" t="s">
        <v>196</v>
      </c>
      <c r="L36" s="191" t="s">
        <v>197</v>
      </c>
      <c r="M36" s="191" t="s">
        <v>198</v>
      </c>
      <c r="N36" s="191" t="s">
        <v>199</v>
      </c>
      <c r="O36" s="191" t="s">
        <v>200</v>
      </c>
      <c r="P36" s="191" t="s">
        <v>201</v>
      </c>
      <c r="Q36" s="191" t="s">
        <v>202</v>
      </c>
      <c r="R36" s="192" t="s">
        <v>203</v>
      </c>
    </row>
    <row r="37" spans="1:18" x14ac:dyDescent="0.25">
      <c r="A37" s="188" t="s">
        <v>2</v>
      </c>
      <c r="B37" s="178">
        <v>8.4000000000000005E-2</v>
      </c>
      <c r="C37" s="178">
        <v>0.15</v>
      </c>
      <c r="D37" s="178">
        <v>0.27</v>
      </c>
      <c r="E37" s="178">
        <v>0.39</v>
      </c>
      <c r="F37" s="178">
        <v>0.51</v>
      </c>
      <c r="G37" s="178">
        <v>0.65</v>
      </c>
      <c r="H37" s="178">
        <v>0.74</v>
      </c>
      <c r="I37" s="178">
        <v>0.81</v>
      </c>
      <c r="J37" s="178">
        <v>0.87</v>
      </c>
      <c r="K37" s="178">
        <v>0.91</v>
      </c>
      <c r="L37" s="178">
        <v>0.93</v>
      </c>
      <c r="M37" s="178">
        <v>0.95</v>
      </c>
      <c r="N37" s="178">
        <v>0.98</v>
      </c>
      <c r="O37" s="178">
        <v>0.99</v>
      </c>
      <c r="P37" s="178">
        <v>0.99</v>
      </c>
      <c r="Q37" s="178">
        <v>1</v>
      </c>
      <c r="R37" s="189">
        <v>1</v>
      </c>
    </row>
    <row r="38" spans="1:18" x14ac:dyDescent="0.25">
      <c r="A38" s="188" t="s">
        <v>3</v>
      </c>
      <c r="B38" s="178">
        <v>2.8000000000000001E-2</v>
      </c>
      <c r="C38" s="178">
        <v>5.1999999999999998E-2</v>
      </c>
      <c r="D38" s="178">
        <v>9.8000000000000004E-2</v>
      </c>
      <c r="E38" s="178">
        <v>0.15</v>
      </c>
      <c r="F38" s="178">
        <v>0.21</v>
      </c>
      <c r="G38" s="178">
        <v>0.28999999999999998</v>
      </c>
      <c r="H38" s="178">
        <v>0.37</v>
      </c>
      <c r="I38" s="178">
        <v>0.44</v>
      </c>
      <c r="J38" s="178">
        <v>0.54</v>
      </c>
      <c r="K38" s="178">
        <v>0.59</v>
      </c>
      <c r="L38" s="178">
        <v>0.66</v>
      </c>
      <c r="M38" s="178">
        <v>0.74</v>
      </c>
      <c r="N38" s="178">
        <v>0.81</v>
      </c>
      <c r="O38" s="178">
        <v>0.87</v>
      </c>
      <c r="P38" s="178">
        <v>0.91</v>
      </c>
      <c r="Q38" s="178">
        <v>0.97</v>
      </c>
      <c r="R38" s="189">
        <v>1</v>
      </c>
    </row>
    <row r="39" spans="1:18" x14ac:dyDescent="0.25">
      <c r="A39" s="188" t="s">
        <v>4</v>
      </c>
      <c r="B39" s="178">
        <v>1</v>
      </c>
      <c r="C39" s="178">
        <v>1</v>
      </c>
      <c r="D39" s="178">
        <v>1</v>
      </c>
      <c r="E39" s="178">
        <v>1</v>
      </c>
      <c r="F39" s="178">
        <v>1</v>
      </c>
      <c r="G39" s="178">
        <v>1</v>
      </c>
      <c r="H39" s="178">
        <v>1</v>
      </c>
      <c r="I39" s="178">
        <v>1</v>
      </c>
      <c r="J39" s="178">
        <v>1</v>
      </c>
      <c r="K39" s="178">
        <v>1</v>
      </c>
      <c r="L39" s="178">
        <v>1</v>
      </c>
      <c r="M39" s="178">
        <v>1</v>
      </c>
      <c r="N39" s="178">
        <v>1</v>
      </c>
      <c r="O39" s="178">
        <v>1</v>
      </c>
      <c r="P39" s="178">
        <v>1</v>
      </c>
      <c r="Q39" s="178">
        <v>1</v>
      </c>
      <c r="R39" s="189">
        <v>1</v>
      </c>
    </row>
    <row r="40" spans="1:18" ht="15.75" thickBot="1" x14ac:dyDescent="0.3">
      <c r="A40" s="193" t="s">
        <v>5</v>
      </c>
      <c r="B40" s="195">
        <v>0.1</v>
      </c>
      <c r="C40" s="195">
        <v>0.18</v>
      </c>
      <c r="D40" s="195">
        <v>0.33</v>
      </c>
      <c r="E40" s="195">
        <v>0.47</v>
      </c>
      <c r="F40" s="195">
        <v>0.61</v>
      </c>
      <c r="G40" s="195">
        <v>0.78</v>
      </c>
      <c r="H40" s="195">
        <v>0.87</v>
      </c>
      <c r="I40" s="195">
        <v>0.94</v>
      </c>
      <c r="J40" s="195">
        <v>0.99</v>
      </c>
      <c r="K40" s="195">
        <v>1</v>
      </c>
      <c r="L40" s="195">
        <v>1</v>
      </c>
      <c r="M40" s="195">
        <v>1</v>
      </c>
      <c r="N40" s="195">
        <v>1</v>
      </c>
      <c r="O40" s="195">
        <v>1</v>
      </c>
      <c r="P40" s="195">
        <v>1</v>
      </c>
      <c r="Q40" s="195">
        <v>1</v>
      </c>
      <c r="R40" s="196">
        <v>1</v>
      </c>
    </row>
    <row r="41" spans="1:18" ht="15.75" thickBot="1" x14ac:dyDescent="0.3"/>
    <row r="42" spans="1:18" x14ac:dyDescent="0.25">
      <c r="A42" s="283" t="s">
        <v>181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5"/>
    </row>
    <row r="43" spans="1:18" x14ac:dyDescent="0.25">
      <c r="A43" s="200"/>
      <c r="B43" s="201" t="s">
        <v>187</v>
      </c>
      <c r="C43" s="201" t="s">
        <v>188</v>
      </c>
      <c r="D43" s="201" t="s">
        <v>189</v>
      </c>
      <c r="E43" s="201" t="s">
        <v>190</v>
      </c>
      <c r="F43" s="201" t="s">
        <v>191</v>
      </c>
      <c r="G43" s="201" t="s">
        <v>192</v>
      </c>
      <c r="H43" s="201" t="s">
        <v>193</v>
      </c>
      <c r="I43" s="201" t="s">
        <v>194</v>
      </c>
      <c r="J43" s="201" t="s">
        <v>195</v>
      </c>
      <c r="K43" s="201" t="s">
        <v>196</v>
      </c>
      <c r="L43" s="201" t="s">
        <v>197</v>
      </c>
      <c r="M43" s="201" t="s">
        <v>198</v>
      </c>
      <c r="N43" s="201" t="s">
        <v>199</v>
      </c>
      <c r="O43" s="201" t="s">
        <v>200</v>
      </c>
      <c r="P43" s="201" t="s">
        <v>201</v>
      </c>
      <c r="Q43" s="201" t="s">
        <v>202</v>
      </c>
      <c r="R43" s="202" t="s">
        <v>203</v>
      </c>
    </row>
    <row r="44" spans="1:18" x14ac:dyDescent="0.25">
      <c r="A44" s="188" t="s">
        <v>2</v>
      </c>
      <c r="B44" s="178">
        <v>0.1</v>
      </c>
      <c r="C44" s="178">
        <v>0.19</v>
      </c>
      <c r="D44" s="178">
        <v>0.32</v>
      </c>
      <c r="E44" s="178">
        <v>0.48</v>
      </c>
      <c r="F44" s="178">
        <v>0.55000000000000004</v>
      </c>
      <c r="G44" s="178">
        <v>0.66</v>
      </c>
      <c r="H44" s="178">
        <v>0.69</v>
      </c>
      <c r="I44" s="178">
        <v>0.75</v>
      </c>
      <c r="J44" s="178">
        <v>0.74</v>
      </c>
      <c r="K44" s="178">
        <v>0.82</v>
      </c>
      <c r="L44" s="178">
        <v>0.87</v>
      </c>
      <c r="M44" s="178">
        <v>0.91</v>
      </c>
      <c r="N44" s="178">
        <v>1.1000000000000001</v>
      </c>
      <c r="O44" s="178">
        <v>0.95</v>
      </c>
      <c r="P44" s="178">
        <v>0.99</v>
      </c>
      <c r="Q44" s="178">
        <v>1</v>
      </c>
      <c r="R44" s="189">
        <v>1</v>
      </c>
    </row>
    <row r="45" spans="1:18" x14ac:dyDescent="0.25">
      <c r="A45" s="188" t="s">
        <v>3</v>
      </c>
      <c r="B45" s="178">
        <v>9.8000000000000004E-2</v>
      </c>
      <c r="C45" s="178">
        <v>0.18</v>
      </c>
      <c r="D45" s="178">
        <v>0.33</v>
      </c>
      <c r="E45" s="178">
        <v>0.49</v>
      </c>
      <c r="F45" s="178">
        <v>0.59</v>
      </c>
      <c r="G45" s="178">
        <v>0.7</v>
      </c>
      <c r="H45" s="178">
        <v>0.74</v>
      </c>
      <c r="I45" s="178">
        <v>0.76</v>
      </c>
      <c r="J45" s="178">
        <v>0.71</v>
      </c>
      <c r="K45" s="178">
        <v>0.93</v>
      </c>
      <c r="L45" s="178">
        <v>0.85</v>
      </c>
      <c r="M45" s="178">
        <v>0.88</v>
      </c>
      <c r="N45" s="178">
        <v>0.92</v>
      </c>
      <c r="O45" s="178">
        <v>0.94</v>
      </c>
      <c r="P45" s="178">
        <v>1</v>
      </c>
      <c r="Q45" s="178">
        <v>0.95</v>
      </c>
      <c r="R45" s="189">
        <v>1</v>
      </c>
    </row>
    <row r="46" spans="1:18" x14ac:dyDescent="0.25">
      <c r="A46" s="188" t="s">
        <v>4</v>
      </c>
      <c r="B46" s="178">
        <v>1</v>
      </c>
      <c r="C46" s="178">
        <v>1</v>
      </c>
      <c r="D46" s="178">
        <v>1</v>
      </c>
      <c r="E46" s="178">
        <v>1</v>
      </c>
      <c r="F46" s="178">
        <v>1</v>
      </c>
      <c r="G46" s="178">
        <v>1</v>
      </c>
      <c r="H46" s="178">
        <v>1</v>
      </c>
      <c r="I46" s="178">
        <v>1</v>
      </c>
      <c r="J46" s="178">
        <v>1</v>
      </c>
      <c r="K46" s="178">
        <v>1</v>
      </c>
      <c r="L46" s="178">
        <v>1</v>
      </c>
      <c r="M46" s="178">
        <v>1</v>
      </c>
      <c r="N46" s="178">
        <v>1</v>
      </c>
      <c r="O46" s="178">
        <v>1</v>
      </c>
      <c r="P46" s="178">
        <v>1</v>
      </c>
      <c r="Q46" s="178">
        <v>1</v>
      </c>
      <c r="R46" s="189">
        <v>1</v>
      </c>
    </row>
    <row r="47" spans="1:18" ht="15.75" thickBot="1" x14ac:dyDescent="0.3">
      <c r="A47" s="193" t="s">
        <v>5</v>
      </c>
      <c r="B47" s="195">
        <v>0.18</v>
      </c>
      <c r="C47" s="195">
        <v>0.28000000000000003</v>
      </c>
      <c r="D47" s="195">
        <v>0.59</v>
      </c>
      <c r="E47" s="195">
        <v>0.82</v>
      </c>
      <c r="F47" s="195">
        <v>0.86</v>
      </c>
      <c r="G47" s="195">
        <v>0.98</v>
      </c>
      <c r="H47" s="195">
        <v>1</v>
      </c>
      <c r="I47" s="195">
        <v>0.94</v>
      </c>
      <c r="J47" s="195">
        <v>0.97</v>
      </c>
      <c r="K47" s="195">
        <v>1</v>
      </c>
      <c r="L47" s="195">
        <v>1</v>
      </c>
      <c r="M47" s="195">
        <v>1</v>
      </c>
      <c r="N47" s="195">
        <v>1.1000000000000001</v>
      </c>
      <c r="O47" s="195">
        <v>1.1000000000000001</v>
      </c>
      <c r="P47" s="195">
        <v>0.99</v>
      </c>
      <c r="Q47" s="195">
        <v>1</v>
      </c>
      <c r="R47" s="196">
        <v>1</v>
      </c>
    </row>
  </sheetData>
  <mergeCells count="5">
    <mergeCell ref="A35:R35"/>
    <mergeCell ref="A42:R42"/>
    <mergeCell ref="A1:I1"/>
    <mergeCell ref="A9:F9"/>
    <mergeCell ref="A17:C17"/>
  </mergeCells>
  <pageMargins left="0.7" right="0.7" top="0.75" bottom="0.75" header="0.3" footer="0.3"/>
  <pageSetup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Direct Consump.</vt:lpstr>
      <vt:lpstr>Direct to Water</vt:lpstr>
      <vt:lpstr>Direct to Soil</vt:lpstr>
      <vt:lpstr>Air</vt:lpstr>
      <vt:lpstr>Soil &amp; Water</vt:lpstr>
      <vt:lpstr>Isotope Specific Factors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Stagich, Brooke</dc:creator>
  <cp:lastModifiedBy>Manning, Karessa L.</cp:lastModifiedBy>
  <cp:lastPrinted>2015-10-05T19:14:26Z</cp:lastPrinted>
  <dcterms:created xsi:type="dcterms:W3CDTF">2015-07-27T16:34:30Z</dcterms:created>
  <dcterms:modified xsi:type="dcterms:W3CDTF">2015-10-12T15:08:01Z</dcterms:modified>
</cp:coreProperties>
</file>