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codeName="ThisWorkbook"/>
  <mc:AlternateContent xmlns:mc="http://schemas.openxmlformats.org/markup-compatibility/2006">
    <mc:Choice Requires="x15">
      <x15ac:absPath xmlns:x15ac="http://schemas.microsoft.com/office/spreadsheetml/2010/11/ac" url="https://ornl-my.sharepoint.com/personal/k21_ornl_gov/Documents/EPA Tools/RAD_Master QA Sheets/2021_Internal_Verification_Spreadsheets/"/>
    </mc:Choice>
  </mc:AlternateContent>
  <xr:revisionPtr revIDLastSave="211" documentId="13_ncr:1_{F9761E49-E285-48AE-91F8-BFB02284F1A7}" xr6:coauthVersionLast="46" xr6:coauthVersionMax="46" xr10:uidLastSave="{92BE145B-6FBB-42CC-98E1-787CBB3F97B2}"/>
  <bookViews>
    <workbookView xWindow="1950" yWindow="600" windowWidth="14400" windowHeight="17400" tabRatio="914" xr2:uid="{00000000-000D-0000-FFFF-FFFF00000000}"/>
  </bookViews>
  <sheets>
    <sheet name="Instructions" sheetId="31" r:id="rId1"/>
    <sheet name="RadSpec" sheetId="1" r:id="rId2"/>
    <sheet name="d" sheetId="30" r:id="rId3"/>
    <sheet name="d_ind" sheetId="7" r:id="rId4"/>
    <sheet name="d_out" sheetId="9" r:id="rId5"/>
    <sheet name="d_com" sheetId="11" r:id="rId6"/>
    <sheet name="d_con" sheetId="13" r:id="rId7"/>
    <sheet name="def_acf" sheetId="21" r:id="rId8"/>
    <sheet name="s_RadSpec" sheetId="6" r:id="rId9"/>
    <sheet name="s_ind" sheetId="8" r:id="rId10"/>
    <sheet name="s_out" sheetId="10" r:id="rId11"/>
    <sheet name="s_com" sheetId="12" r:id="rId12"/>
    <sheet name="s_con" sheetId="14" r:id="rId13"/>
    <sheet name="ss" sheetId="3" r:id="rId14"/>
    <sheet name="up_RadSpec" sheetId="28" r:id="rId15"/>
    <sheet name="up_ind" sheetId="24" r:id="rId16"/>
    <sheet name="up_out" sheetId="25" r:id="rId17"/>
    <sheet name="up_com" sheetId="26" r:id="rId18"/>
    <sheet name="up_con" sheetId="27" r:id="rId19"/>
  </sheets>
  <externalReferences>
    <externalReference r:id="rId20"/>
  </externalReferences>
  <definedNames>
    <definedName name="_xlnm._FilterDatabase" localSheetId="5" hidden="1">d_com!$A$1:$O$76</definedName>
    <definedName name="_xlnm._FilterDatabase" localSheetId="6" hidden="1">d_con!$A$1:$AV$76</definedName>
    <definedName name="_xlnm._FilterDatabase" localSheetId="3" hidden="1">d_ind!$A$1:$O$76</definedName>
    <definedName name="_xlnm._FilterDatabase" localSheetId="4" hidden="1">d_out!$A$1:$O$76</definedName>
    <definedName name="_xlnm._FilterDatabase" localSheetId="7" hidden="1">def_acf!$A$1:$G$30</definedName>
    <definedName name="_xlnm._FilterDatabase" localSheetId="1" hidden="1">RadSpec!$A$1:$AK$30</definedName>
    <definedName name="_xlnm._FilterDatabase" localSheetId="11" hidden="1">s_com!$A$1:$AF$76</definedName>
    <definedName name="_xlnm._FilterDatabase" localSheetId="12" hidden="1">s_con!$A$1:$AV$76</definedName>
    <definedName name="_xlnm._FilterDatabase" localSheetId="9" hidden="1">s_ind!$A$1:$Z$76</definedName>
    <definedName name="_xlnm._FilterDatabase" localSheetId="10" hidden="1">s_out!$A$1:$AK$76</definedName>
    <definedName name="_xlnm._FilterDatabase" localSheetId="8" hidden="1">s_RadSpec!$A$1:$AD$76</definedName>
    <definedName name="_xlnm._FilterDatabase" localSheetId="17" hidden="1">up_com!$A$1:$AK$76</definedName>
    <definedName name="_xlnm._FilterDatabase" localSheetId="18" hidden="1">up_con!$A$1:$AV$76</definedName>
    <definedName name="_xlnm._FilterDatabase" localSheetId="15" hidden="1">up_ind!$A$1:$AL$76</definedName>
    <definedName name="_xlnm._FilterDatabase" localSheetId="16" hidden="1">up_out!$A$1:$AK$76</definedName>
    <definedName name="_xlnm._FilterDatabase" localSheetId="14" hidden="1">up_RadSpec!$A$1:$AK$30</definedName>
    <definedName name="A__sc">d!$W$31</definedName>
    <definedName name="A_excav">d!$W$14</definedName>
    <definedName name="a_i">[1]pef!$Q$4</definedName>
    <definedName name="a_p">[1]pef!$N$11</definedName>
    <definedName name="A_R">d!$T$5</definedName>
    <definedName name="A_sc">d!$T$19</definedName>
    <definedName name="A_surf">d!$W$10</definedName>
    <definedName name="A_till">d!$W$23</definedName>
    <definedName name="A_wind">d!$Q$9</definedName>
    <definedName name="Ac">d!$T$15</definedName>
    <definedName name="Ac_doz">d!$W$26</definedName>
    <definedName name="Ac_grade">d!$W$25</definedName>
    <definedName name="As">d!$Q$8</definedName>
    <definedName name="B__sc">d!$W$32</definedName>
    <definedName name="B_doz">d!$W$27</definedName>
    <definedName name="B_grade">d!$W$28</definedName>
    <definedName name="b_i">[1]pef!$Q$5</definedName>
    <definedName name="B_sc">d!$T$20</definedName>
    <definedName name="B_wind">d!$Q$10</definedName>
    <definedName name="C_">d!$B$3</definedName>
    <definedName name="C__sc">d!$W$33</definedName>
    <definedName name="c_p">[1]pef!$N$12</definedName>
    <definedName name="C_sc">d!$T$21</definedName>
    <definedName name="C_wear">[1]pef!$N$9</definedName>
    <definedName name="C_wind">d!$Q$11</definedName>
    <definedName name="d__p">[1]pef!$N$13</definedName>
    <definedName name="d_A">[1]pef!$E$8</definedName>
    <definedName name="d_AR">[1]pef!$E$14</definedName>
    <definedName name="d_As">[1]pef!$E$9</definedName>
    <definedName name="d_Asw">[1]pef!$B$9</definedName>
    <definedName name="d_AVK__CA_urban_interstate">[1]pef!$E$24</definedName>
    <definedName name="d_Aw">[1]pef!$B$8</definedName>
    <definedName name="d_B">[1]pef!$E$10</definedName>
    <definedName name="d_Bw">[1]pef!$B$10</definedName>
    <definedName name="d_C">[1]pef!$E$11</definedName>
    <definedName name="d_Cw">[1]pef!$B$11</definedName>
    <definedName name="d_ED">[1]pef!$E$26</definedName>
    <definedName name="d_ED_iw">[1]d!$N$3</definedName>
    <definedName name="d_ED_ow">[1]d!$K$3</definedName>
    <definedName name="d_ED_res">[1]d!$E$4</definedName>
    <definedName name="d_ED_res_a">[1]d!$E$3</definedName>
    <definedName name="d_ED_res_c">[1]d!$E$2</definedName>
    <definedName name="d_ED_w">[1]d!$H$3</definedName>
    <definedName name="d_EF_iw">[1]d!$N$4</definedName>
    <definedName name="d_EF_ow">[1]d!$K$4</definedName>
    <definedName name="d_EF_res">[1]d!$E$7</definedName>
    <definedName name="d_EF_res_a">[1]d!$E$6</definedName>
    <definedName name="d_EF_res_c">[1]d!$E$5</definedName>
    <definedName name="d_EF_w">[1]d!$H$4</definedName>
    <definedName name="d_ET_iw">[1]d!$N$5</definedName>
    <definedName name="d_ET_ow">[1]d!$K$5</definedName>
    <definedName name="d_ET_res_a_h">[1]d!$E$12</definedName>
    <definedName name="d_ET_res_c_h">[1]d!$E$13</definedName>
    <definedName name="d_ET_res_i">[1]d!$E$15</definedName>
    <definedName name="d_ET_res_o">[1]d!$E$14</definedName>
    <definedName name="d_ET_w">[1]d!$H$5</definedName>
    <definedName name="d_excav">d!$W$15</definedName>
    <definedName name="d_Fam">[1]d!$B$4</definedName>
    <definedName name="d_Foffset">[1]d!$B$5</definedName>
    <definedName name="d_FQ_iw">[1]d!$N$8</definedName>
    <definedName name="d_FQ_ow">[1]d!$K$8</definedName>
    <definedName name="d_FQ_res_a">[1]d!$E$8</definedName>
    <definedName name="d_FQ_res_c">[1]d!$E$9</definedName>
    <definedName name="d_FQ_w">[1]d!$H$8</definedName>
    <definedName name="d_FTSS_h">[1]d!$B$6</definedName>
    <definedName name="d_GSF_i">[1]d!$B$9</definedName>
    <definedName name="d_GSF_s">[1]d!$B$8</definedName>
    <definedName name="d_IFAres_adj">[1]d!$E$20</definedName>
    <definedName name="d_IFD_iw">[1]d!$N$10</definedName>
    <definedName name="d_IFD_ow">[1]d!$K$10</definedName>
    <definedName name="d_IFD_w">[1]d!$H$10</definedName>
    <definedName name="d_IFDres_adj">[1]d!$E$19</definedName>
    <definedName name="d_IRA_iw">[1]d!$N$6</definedName>
    <definedName name="d_IRA_ow">[1]d!$K$6</definedName>
    <definedName name="d_IRA_res_a">[1]d!$E$11</definedName>
    <definedName name="d_IRA_res_c">[1]d!$E$10</definedName>
    <definedName name="d_IRA_w">[1]d!$H$6</definedName>
    <definedName name="d_k_pp">[1]pef!$E$20</definedName>
    <definedName name="d_Km__CA_urban_interstate">[1]pef!$E$25</definedName>
    <definedName name="d_LR">[1]pef!$E$15</definedName>
    <definedName name="d_LS">[1]pef!$E$23</definedName>
    <definedName name="d_p">[1]pef!$E$21</definedName>
    <definedName name="d_PEF">[1]pef!$B$2</definedName>
    <definedName name="d_PEFm_pp">[1]pef!$E$2</definedName>
    <definedName name="d_Q_Cm">[1]pef!$E$3</definedName>
    <definedName name="d_SA_iw">[1]d!$N$7</definedName>
    <definedName name="d_SA_ow">[1]d!$K$7</definedName>
    <definedName name="d_SA_res_a">[1]d!$E$16</definedName>
    <definedName name="d_SA_res_c">[1]d!$E$17</definedName>
    <definedName name="d_SA_w">[1]d!$H$7</definedName>
    <definedName name="d_SE">[1]d!$B$7</definedName>
    <definedName name="d_sL">[1]pef!$E$18</definedName>
    <definedName name="d_SLF">[1]d!$B$10</definedName>
    <definedName name="d_T">[1]pef!$E$17</definedName>
    <definedName name="d_TR">[1]d!$B$2</definedName>
    <definedName name="d_VKT">[1]pef!$E$22</definedName>
    <definedName name="d_W">[1]pef!$E$19</definedName>
    <definedName name="d_WR">[1]pef!$E$16</definedName>
    <definedName name="day_wk">[1]pef!$K$12</definedName>
    <definedName name="distance">d!$T$11</definedName>
    <definedName name="DW_cw">d!$N$7</definedName>
    <definedName name="ED_com">d!$K$2</definedName>
    <definedName name="ED_con">d!$N$2</definedName>
    <definedName name="ED_ind">d!$E$2</definedName>
    <definedName name="ED_out">d!$H$2</definedName>
    <definedName name="EF_cw">d!$N$6</definedName>
    <definedName name="EF_iw">d!$E$6</definedName>
    <definedName name="EF_ow">d!$H$6</definedName>
    <definedName name="EF_w">d!$K$6</definedName>
    <definedName name="ET_cw_i">d!$N$10</definedName>
    <definedName name="ET_cw_o">d!$N$9</definedName>
    <definedName name="ET_iw_i">d!$E$8</definedName>
    <definedName name="ET_iw_o">d!$E$7</definedName>
    <definedName name="ET_ow_i">d!$H$8</definedName>
    <definedName name="ET_ow_o">d!$H$7</definedName>
    <definedName name="ET_w_i">d!$K$8</definedName>
    <definedName name="ET_w_o">d!$K$7</definedName>
    <definedName name="EW_cw">d!$N$8</definedName>
    <definedName name="F_D">d!$T$8</definedName>
    <definedName name="F_x">d!$Q$5</definedName>
    <definedName name="GSF_a">d!$B$5</definedName>
    <definedName name="GSF_i">d!$B$6</definedName>
    <definedName name="IRA_cw">d!$N$4</definedName>
    <definedName name="IRA_iw">d!$E$4</definedName>
    <definedName name="IRA_ow">d!$H$4</definedName>
    <definedName name="IRA_w">d!$K$4</definedName>
    <definedName name="IRS_cw">d!$N$5</definedName>
    <definedName name="IRS_iw">d!$E$5</definedName>
    <definedName name="IRS_ow">d!$H$5</definedName>
    <definedName name="IRS_w">d!$K$5</definedName>
    <definedName name="J__T">d!$W$4</definedName>
    <definedName name="K">d!$B$4</definedName>
    <definedName name="k_decay_iw">#REF!</definedName>
    <definedName name="k_decay_iw_state">[1]st!$N$11</definedName>
    <definedName name="k_decay_ow">#REF!</definedName>
    <definedName name="k_decay_ow_state">[1]st!$K$11</definedName>
    <definedName name="k_decay_res">#REF!</definedName>
    <definedName name="k_decay_res_state">[1]st!$E$21</definedName>
    <definedName name="k_decay_w">#REF!</definedName>
    <definedName name="k_decay_w_state">[1]st!$H$11</definedName>
    <definedName name="km_trip">[1]pef!$K$9</definedName>
    <definedName name="L_R">d!$T$10</definedName>
    <definedName name="LS">[1]pef!$K$14</definedName>
    <definedName name="M_doz">d!$W$7</definedName>
    <definedName name="M_dry">d!$T$16</definedName>
    <definedName name="M_excav">d!$W$6</definedName>
    <definedName name="M_grade">d!$W$8</definedName>
    <definedName name="M_m_doz">d!$W$19</definedName>
    <definedName name="M_m_excav">d!$W$17</definedName>
    <definedName name="M_pc_wind">d!$W$5</definedName>
    <definedName name="M_till">d!$W$9</definedName>
    <definedName name="N_A_doz">d!$W$29</definedName>
    <definedName name="N_A_dump">d!$W$16</definedName>
    <definedName name="N_A_grade">d!$W$30</definedName>
    <definedName name="N_A_till">d!$W$24</definedName>
    <definedName name="N_cars">d!$T$13</definedName>
    <definedName name="N_trucks">d!$T$14</definedName>
    <definedName name="number_cars">[1]pef!$K$4</definedName>
    <definedName name="number_trucks">[1]pef!$K$6</definedName>
    <definedName name="p_days">d!$T$17</definedName>
    <definedName name="PEF__sc">d!$W$2</definedName>
    <definedName name="PEF_wind">d!$Q$2</definedName>
    <definedName name="PEFsc">d!$T$2</definedName>
    <definedName name="Q_C__sc">d!$W$3</definedName>
    <definedName name="Q_C_sc">d!$T$3</definedName>
    <definedName name="Q_C_wind">d!$Q$7</definedName>
    <definedName name="s">d!$T$18</definedName>
    <definedName name="s_A">[1]pef!$H$4</definedName>
    <definedName name="s_A__sc">ss!$W$31</definedName>
    <definedName name="s_A_excav">ss!$W$14</definedName>
    <definedName name="s_A_R">ss!$T$5</definedName>
    <definedName name="s_A_sc">ss!$T$19</definedName>
    <definedName name="s_A_surf">ss!$W$10</definedName>
    <definedName name="s_A_till">ss!$W$23</definedName>
    <definedName name="s_A_wind">ss!$Q$9</definedName>
    <definedName name="s_Ac">ss!$T$15</definedName>
    <definedName name="s_Ac_doz">ss!$W$26</definedName>
    <definedName name="s_Ac_grade">ss!$W$25</definedName>
    <definedName name="s_AR">[1]pef!$H$10</definedName>
    <definedName name="s_As" localSheetId="0">ss!$Q$8</definedName>
    <definedName name="s_As">ss!$Q$8</definedName>
    <definedName name="s_Asw">[1]pef!$B$21</definedName>
    <definedName name="s_AVK__TN_rural_interstate">[1]pef!$H$20</definedName>
    <definedName name="s_Aw">[1]pef!$B$20</definedName>
    <definedName name="s_B">[1]pef!$H$6</definedName>
    <definedName name="s_B__sc">ss!$W$32</definedName>
    <definedName name="s_B_doz">ss!$W$27</definedName>
    <definedName name="s_B_grade">ss!$W$28</definedName>
    <definedName name="s_B_sc">ss!$T$20</definedName>
    <definedName name="s_B_wind">ss!$Q$10</definedName>
    <definedName name="s_Bw">[1]pef!$B$22</definedName>
    <definedName name="s_C" localSheetId="0">ss!$B$3</definedName>
    <definedName name="s_C">ss!$B$3</definedName>
    <definedName name="s_C__sc">ss!$W$33</definedName>
    <definedName name="s_C_sc">ss!$T$21</definedName>
    <definedName name="s_C_wind">ss!$Q$11</definedName>
    <definedName name="s_Cw">[1]pef!$B$23</definedName>
    <definedName name="s_d_excav">ss!$W$15</definedName>
    <definedName name="s_distance">ss!$T$11</definedName>
    <definedName name="s_doz">d!$W$18</definedName>
    <definedName name="S_doz_speed">d!$W$20</definedName>
    <definedName name="s_DW_cw">ss!$N$7</definedName>
    <definedName name="s_ED">[1]pef!$H$22</definedName>
    <definedName name="s_ED_com">ss!$K$2</definedName>
    <definedName name="s_ED_con">ss!$N$2</definedName>
    <definedName name="s_ED_ind">ss!$E$2</definedName>
    <definedName name="s_ED_iw">#REF!</definedName>
    <definedName name="s_ED_out">ss!$H$2</definedName>
    <definedName name="s_ED_ow">#REF!</definedName>
    <definedName name="s_ED_res">#REF!</definedName>
    <definedName name="s_ED_res_a">#REF!</definedName>
    <definedName name="s_ED_res_c">#REF!</definedName>
    <definedName name="s_ED_w">#REF!</definedName>
    <definedName name="s_EF_cw">ss!$N$6</definedName>
    <definedName name="s_EF_iw" localSheetId="0">ss!$E$6</definedName>
    <definedName name="s_EF_iw">ss!$E$6</definedName>
    <definedName name="s_EF_ow" localSheetId="0">ss!$H$6</definedName>
    <definedName name="s_EF_ow">ss!$H$6</definedName>
    <definedName name="s_EF_res">#REF!</definedName>
    <definedName name="s_EF_res_a">#REF!</definedName>
    <definedName name="s_EF_res_c">#REF!</definedName>
    <definedName name="s_EF_w" localSheetId="0">ss!$K$6</definedName>
    <definedName name="s_EF_w">ss!$K$6</definedName>
    <definedName name="s_ET_cw_i">ss!$N$10</definedName>
    <definedName name="s_ET_cw_o">ss!$N$9</definedName>
    <definedName name="s_ET_iw">#REF!</definedName>
    <definedName name="s_ET_iw_i">ss!$E$8</definedName>
    <definedName name="s_ET_iw_o">ss!$E$7</definedName>
    <definedName name="s_ET_ow">#REF!</definedName>
    <definedName name="s_ET_ow_i">ss!$H$8</definedName>
    <definedName name="s_ET_ow_o">ss!$H$7</definedName>
    <definedName name="s_ET_res_a_h">#REF!</definedName>
    <definedName name="s_ET_res_c_h">#REF!</definedName>
    <definedName name="s_ET_res_i">#REF!</definedName>
    <definedName name="s_ET_res_o">#REF!</definedName>
    <definedName name="s_ET_w">#REF!</definedName>
    <definedName name="s_ET_w_i">ss!$K$8</definedName>
    <definedName name="s_ET_w_o">ss!$K$7</definedName>
    <definedName name="s_EW_cw">ss!$N$8</definedName>
    <definedName name="s_F_D">ss!$T$8</definedName>
    <definedName name="s_F_x">ss!$Q$5</definedName>
    <definedName name="s_F_x_w">[1]pef!$B$19</definedName>
    <definedName name="s_Fam">#REF!</definedName>
    <definedName name="s_Foffset">#REF!</definedName>
    <definedName name="s_FQ_iw">#REF!</definedName>
    <definedName name="s_FQ_ow">#REF!</definedName>
    <definedName name="s_FQ_res_a">#REF!</definedName>
    <definedName name="s_FQ_res_c">#REF!</definedName>
    <definedName name="s_FQ_w">#REF!</definedName>
    <definedName name="s_FTSS_h">#REF!</definedName>
    <definedName name="S_grade">d!$W$21</definedName>
    <definedName name="s_GSF_a">ss!$B$5</definedName>
    <definedName name="s_GSF_i" localSheetId="0">#REF!</definedName>
    <definedName name="s_GSF_i">ss!$B$6</definedName>
    <definedName name="s_GSF_s">#REF!</definedName>
    <definedName name="s_HR__w">#REF!</definedName>
    <definedName name="s_HR_iw">#REF!</definedName>
    <definedName name="s_HR_ow">#REF!</definedName>
    <definedName name="s_IFAres_adj">#REF!</definedName>
    <definedName name="s_IFD_iw">#REF!</definedName>
    <definedName name="s_IFD_ow">#REF!</definedName>
    <definedName name="s_IFD_w">#REF!</definedName>
    <definedName name="s_IFDres_adj">#REF!</definedName>
    <definedName name="s_IRA_cw">ss!$N$4</definedName>
    <definedName name="s_IRA_iw" localSheetId="0">ss!$E$4</definedName>
    <definedName name="s_IRA_iw">ss!$E$4</definedName>
    <definedName name="s_IRA_ow" localSheetId="0">ss!$H$4</definedName>
    <definedName name="s_IRA_ow">ss!$H$4</definedName>
    <definedName name="s_IRA_res_a">#REF!</definedName>
    <definedName name="s_IRA_res_c">#REF!</definedName>
    <definedName name="s_IRA_w" localSheetId="0">ss!$K$4</definedName>
    <definedName name="s_IRA_w">ss!$K$4</definedName>
    <definedName name="s_IRS_cw">ss!$N$5</definedName>
    <definedName name="s_IRS_iw">ss!$E$5</definedName>
    <definedName name="s_IRS_ow">ss!$H$5</definedName>
    <definedName name="s_IRS_w">ss!$K$5</definedName>
    <definedName name="s_J__T">ss!$W$4</definedName>
    <definedName name="s_k" localSheetId="0">#REF!</definedName>
    <definedName name="s_K">ss!$B$4</definedName>
    <definedName name="s_k_pp">[1]pef!$H$16</definedName>
    <definedName name="s_k_ui">[1]pef!$Q$3</definedName>
    <definedName name="s_k_up">[1]pef!$N$7</definedName>
    <definedName name="s_Km_TN_rural_interstate">[1]pef!$H$21</definedName>
    <definedName name="s_L_R">ss!$T$10</definedName>
    <definedName name="s_LR">[1]pef!$H$11</definedName>
    <definedName name="s_LS">[1]pef!$H$19</definedName>
    <definedName name="s_M_doz">ss!$W$7</definedName>
    <definedName name="s_M_dry">ss!$T$16</definedName>
    <definedName name="s_M_excav">ss!$W$6</definedName>
    <definedName name="s_M_grade">ss!$W$8</definedName>
    <definedName name="s_M_m_doz">ss!$W$19</definedName>
    <definedName name="s_M_m_excav">ss!$W$17</definedName>
    <definedName name="s_M_moisture">[1]pef!$N$5</definedName>
    <definedName name="s_M_pc_wind">ss!$W$5</definedName>
    <definedName name="s_M_till">ss!$W$9</definedName>
    <definedName name="s_N_A_doz">ss!$W$29</definedName>
    <definedName name="s_N_A_dump">ss!$W$16</definedName>
    <definedName name="s_N_A_grade">ss!$W$30</definedName>
    <definedName name="s_N_A_till">ss!$W$24</definedName>
    <definedName name="s_N_cars">ss!$T$13</definedName>
    <definedName name="s_N_trucks">ss!$T$14</definedName>
    <definedName name="s_p">[1]pef!$H$17</definedName>
    <definedName name="s_p_days">ss!$T$17</definedName>
    <definedName name="s_PEF">[1]pef!$B$14</definedName>
    <definedName name="s_PEF__sc">ss!$W$2</definedName>
    <definedName name="s_PEF_wind">ss!$Q$2</definedName>
    <definedName name="s_PEFm_pp_state">[1]pef!$H$2</definedName>
    <definedName name="s_PEFsc">ss!$T$2</definedName>
    <definedName name="s_Q_C__sc">ss!$W$3</definedName>
    <definedName name="s_Q_C_sc">ss!$T$3</definedName>
    <definedName name="s_Q_C_wind">ss!$Q$7</definedName>
    <definedName name="s_Q_Cm">[1]pef!$H$3</definedName>
    <definedName name="s_Q_Cw">[1]pef!$B$15</definedName>
    <definedName name="s_s">ss!$T$18</definedName>
    <definedName name="s_s_doz">ss!$W$18</definedName>
    <definedName name="s_S_doz_speed">ss!$W$20</definedName>
    <definedName name="s_S_grade">ss!$W$21</definedName>
    <definedName name="s_S_speed">[1]pef!$N$6</definedName>
    <definedName name="s_s_till">ss!$W$22</definedName>
    <definedName name="s_SA_iw">#REF!</definedName>
    <definedName name="s_SA_ow">#REF!</definedName>
    <definedName name="s_SA_res_a">#REF!</definedName>
    <definedName name="s_SA_res_c">#REF!</definedName>
    <definedName name="s_SA_w">#REF!</definedName>
    <definedName name="s_SE">#REF!</definedName>
    <definedName name="s_silt">[1]pef!$N$4</definedName>
    <definedName name="s_sL">[1]pef!$H$14</definedName>
    <definedName name="s_SLF">#REF!</definedName>
    <definedName name="s_T">[1]pef!$H$13</definedName>
    <definedName name="s_t_c">ss!$T$9</definedName>
    <definedName name="s_t_com" localSheetId="0">#REF!</definedName>
    <definedName name="s_t_com">ss!$K$3</definedName>
    <definedName name="s_t_con">ss!$N$3</definedName>
    <definedName name="s_t_ind" localSheetId="0">#REF!</definedName>
    <definedName name="s_t_ind">ss!$E$3</definedName>
    <definedName name="s_t_out" localSheetId="0">#REF!</definedName>
    <definedName name="s_t_out">ss!$H$3</definedName>
    <definedName name="s_t_res">#REF!</definedName>
    <definedName name="s_T_t">ss!$T$4</definedName>
    <definedName name="s_till">d!$W$22</definedName>
    <definedName name="s_TR" localSheetId="0">ss!$B$2</definedName>
    <definedName name="s_TR">ss!$B$2</definedName>
    <definedName name="s_Um">ss!$Q$3</definedName>
    <definedName name="s_Umw">[1]pef!$B$17</definedName>
    <definedName name="s_Ut">ss!$Q$4</definedName>
    <definedName name="s_Utw">[1]pef!$B$18</definedName>
    <definedName name="s_V">ss!$Q$6</definedName>
    <definedName name="s_VKT_up">[1]pef!$N$8</definedName>
    <definedName name="s_VKTm_pp">[1]pef!$K$3</definedName>
    <definedName name="s_VKTm_st">[1]pef!$H$18</definedName>
    <definedName name="s_Vw">[1]pef!$B$16</definedName>
    <definedName name="s_W" localSheetId="0">ss!$T$6</definedName>
    <definedName name="s_W">ss!$T$6</definedName>
    <definedName name="s_W_R">ss!$T$12</definedName>
    <definedName name="s_WR">[1]pef!$H$12</definedName>
    <definedName name="s_ρ_soil">ss!$W$13</definedName>
    <definedName name="s_Σ_VKT">ss!$T$7</definedName>
    <definedName name="s_Σ_VKT_doz">ss!$W$11</definedName>
    <definedName name="s_Σ_VKT_grade">ss!$W$12</definedName>
    <definedName name="ss_ED">[1]pef!$N$10</definedName>
    <definedName name="ss_sL">[1]pef!$K$13</definedName>
    <definedName name="ss_T">[1]pef!$N$3</definedName>
    <definedName name="st_ED_iw">[1]st!$N$3</definedName>
    <definedName name="st_ED_ow">[1]st!$K$3</definedName>
    <definedName name="st_ED_res">[1]st!$E$4</definedName>
    <definedName name="st_ED_res_a">[1]st!$E$3</definedName>
    <definedName name="st_ED_res_c">[1]st!$E$2</definedName>
    <definedName name="st_ED_w">[1]st!$H$3</definedName>
    <definedName name="st_EF_iw">[1]st!$N$4</definedName>
    <definedName name="st_EF_ow">[1]st!$K$4</definedName>
    <definedName name="st_EF_res">[1]st!$E$7</definedName>
    <definedName name="st_EF_res_a">[1]st!$E$6</definedName>
    <definedName name="st_EF_res_c">[1]st!$E$5</definedName>
    <definedName name="st_EF_w">[1]st!$H$4</definedName>
    <definedName name="st_ET_iw">[1]st!$N$5</definedName>
    <definedName name="st_ET_ow">[1]st!$K$5</definedName>
    <definedName name="st_ET_res_a_h">[1]st!$E$12</definedName>
    <definedName name="st_ET_res_c_h">[1]st!$E$13</definedName>
    <definedName name="st_ET_res_i">[1]st!$E$15</definedName>
    <definedName name="st_ET_res_o">[1]st!$E$14</definedName>
    <definedName name="st_ET_w">[1]st!$H$5</definedName>
    <definedName name="st_Fam">[1]st!$B$5</definedName>
    <definedName name="st_Foffset">[1]st!$B$6</definedName>
    <definedName name="st_FQ_iw">[1]st!$N$8</definedName>
    <definedName name="st_FQ_ow">[1]st!$K$8</definedName>
    <definedName name="st_FQ_res_a">[1]st!$E$8</definedName>
    <definedName name="st_FQ_res_c">[1]st!$E$9</definedName>
    <definedName name="st_FQ_w">[1]st!$H$8</definedName>
    <definedName name="st_FTSS_h">[1]st!$B$7</definedName>
    <definedName name="st_GSF_i">[1]st!$B$10</definedName>
    <definedName name="st_GSF_s">[1]st!$B$9</definedName>
    <definedName name="st_IFAres_adj">[1]st!$E$20</definedName>
    <definedName name="st_IFD_iw">[1]st!$N$10</definedName>
    <definedName name="st_IFD_ow">[1]st!$K$10</definedName>
    <definedName name="st_IFD_w">[1]st!$H$10</definedName>
    <definedName name="st_IFDres_adj">[1]st!$E$19</definedName>
    <definedName name="st_IRA_iw">[1]st!$N$6</definedName>
    <definedName name="st_IRA_ow">[1]st!$K$6</definedName>
    <definedName name="st_IRA_res_a">[1]st!$E$11</definedName>
    <definedName name="st_IRA_res_c">[1]st!$E$10</definedName>
    <definedName name="st_IRA_w">[1]st!$H$6</definedName>
    <definedName name="st_k">[1]st!$B$3</definedName>
    <definedName name="st_SA_iw">[1]st!$N$7</definedName>
    <definedName name="st_SA_ow">[1]st!$K$7</definedName>
    <definedName name="st_SA_res_a">[1]st!$E$16</definedName>
    <definedName name="st_SA_res_c">[1]st!$E$17</definedName>
    <definedName name="st_SA_w">[1]st!$H$7</definedName>
    <definedName name="st_SE">[1]st!$B$8</definedName>
    <definedName name="st_SLF">[1]st!$B$11</definedName>
    <definedName name="st_t_com">[1]st!$H$9</definedName>
    <definedName name="st_t_ind">[1]st!$N$9</definedName>
    <definedName name="st_t_out">[1]st!$K$9</definedName>
    <definedName name="st_t_res">[1]st!$E$18</definedName>
    <definedName name="st_TR">[1]st!$B$2</definedName>
    <definedName name="t_c">d!$T$9</definedName>
    <definedName name="t_com" localSheetId="0">[1]d!$H$9</definedName>
    <definedName name="t_com">d!$K$3</definedName>
    <definedName name="t_con">d!$N$3</definedName>
    <definedName name="t_ind" localSheetId="0">[1]d!$N$9</definedName>
    <definedName name="t_ind">d!$E$3</definedName>
    <definedName name="t_out" localSheetId="0">[1]d!$K$9</definedName>
    <definedName name="t_out">d!$H$3</definedName>
    <definedName name="t_res">[1]d!$E$18</definedName>
    <definedName name="T_t">d!$T$4</definedName>
    <definedName name="total_vehic">[1]pef!$K$8</definedName>
    <definedName name="TR">d!$B$2</definedName>
    <definedName name="trip_day">[1]pef!$K$10</definedName>
    <definedName name="Um">d!$Q$3</definedName>
    <definedName name="Ut">d!$Q$4</definedName>
    <definedName name="V">d!$Q$6</definedName>
    <definedName name="W">d!$T$6</definedName>
    <definedName name="W_R">d!$T$12</definedName>
    <definedName name="wk_yr">[1]pef!$K$11</definedName>
    <definedName name="ρ_soil">d!$W$13</definedName>
    <definedName name="Σ_VKT">d!$T$7</definedName>
    <definedName name="Σ_VKT_doz">d!$W$11</definedName>
    <definedName name="Σ_VKT_grade">d!$W$12</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6" i="7" l="1"/>
  <c r="J6" i="7"/>
  <c r="K6" i="7"/>
  <c r="L6" i="7"/>
  <c r="I7" i="7"/>
  <c r="J7" i="7"/>
  <c r="K7" i="7"/>
  <c r="L7" i="7"/>
  <c r="I8" i="7"/>
  <c r="J8" i="7"/>
  <c r="K8" i="7"/>
  <c r="L8" i="7"/>
  <c r="I9" i="7"/>
  <c r="J9" i="7"/>
  <c r="K9" i="7"/>
  <c r="L9" i="7"/>
  <c r="I10" i="7"/>
  <c r="J10" i="7"/>
  <c r="K10" i="7"/>
  <c r="L10" i="7"/>
  <c r="I11" i="7"/>
  <c r="J11" i="7"/>
  <c r="K11" i="7"/>
  <c r="L11" i="7"/>
  <c r="I12" i="7"/>
  <c r="J12" i="7"/>
  <c r="K12" i="7"/>
  <c r="L12" i="7"/>
  <c r="I13" i="7"/>
  <c r="J13" i="7"/>
  <c r="K13" i="7"/>
  <c r="L13" i="7"/>
  <c r="I14" i="7"/>
  <c r="J14" i="7"/>
  <c r="K14" i="7"/>
  <c r="L14" i="7"/>
  <c r="I15" i="7"/>
  <c r="J15" i="7"/>
  <c r="K15" i="7"/>
  <c r="L15" i="7"/>
  <c r="I16" i="7"/>
  <c r="J16" i="7"/>
  <c r="K16" i="7"/>
  <c r="L16" i="7"/>
  <c r="I17" i="7"/>
  <c r="J17" i="7"/>
  <c r="K17" i="7"/>
  <c r="L17" i="7"/>
  <c r="I18" i="7"/>
  <c r="J18" i="7"/>
  <c r="K18" i="7"/>
  <c r="L18" i="7"/>
  <c r="I19" i="7"/>
  <c r="J19" i="7"/>
  <c r="K19" i="7"/>
  <c r="L19" i="7"/>
  <c r="I20" i="7"/>
  <c r="J20" i="7"/>
  <c r="K20" i="7"/>
  <c r="L20" i="7"/>
  <c r="I21" i="7"/>
  <c r="J21" i="7"/>
  <c r="K21" i="7"/>
  <c r="L21" i="7"/>
  <c r="I22" i="7"/>
  <c r="J22" i="7"/>
  <c r="K22" i="7"/>
  <c r="L22" i="7"/>
  <c r="I23" i="7"/>
  <c r="J23" i="7"/>
  <c r="K23" i="7"/>
  <c r="L23" i="7"/>
  <c r="I24" i="7"/>
  <c r="J24" i="7"/>
  <c r="K24" i="7"/>
  <c r="L24" i="7"/>
  <c r="I25" i="7"/>
  <c r="J25" i="7"/>
  <c r="K25" i="7"/>
  <c r="L25" i="7"/>
  <c r="I26" i="7"/>
  <c r="J26" i="7"/>
  <c r="K26" i="7"/>
  <c r="L26" i="7"/>
  <c r="I27" i="7"/>
  <c r="J27" i="7"/>
  <c r="K27" i="7"/>
  <c r="L27" i="7"/>
  <c r="I28" i="7"/>
  <c r="J28" i="7"/>
  <c r="K28" i="7"/>
  <c r="L28" i="7"/>
  <c r="I29" i="7"/>
  <c r="J29" i="7"/>
  <c r="K29" i="7"/>
  <c r="L29" i="7"/>
  <c r="I30" i="7"/>
  <c r="J30" i="7"/>
  <c r="K30" i="7"/>
  <c r="L30" i="7"/>
  <c r="I2" i="7"/>
  <c r="J2" i="7"/>
  <c r="K2" i="7"/>
  <c r="L2" i="7"/>
  <c r="I3" i="7"/>
  <c r="J3" i="7"/>
  <c r="K3" i="7"/>
  <c r="L3" i="7"/>
  <c r="I4" i="7"/>
  <c r="J4" i="7"/>
  <c r="K4" i="7"/>
  <c r="L4" i="7"/>
  <c r="L5" i="7"/>
  <c r="J5" i="7"/>
  <c r="K5" i="7"/>
  <c r="I5" i="7"/>
  <c r="F8" i="7"/>
  <c r="F41" i="7"/>
  <c r="F3" i="7"/>
  <c r="F32" i="7"/>
  <c r="F13" i="7"/>
  <c r="F33" i="7"/>
  <c r="F14" i="7"/>
  <c r="F34" i="7"/>
  <c r="F30" i="7"/>
  <c r="F35" i="7"/>
  <c r="F26" i="7"/>
  <c r="F36" i="7"/>
  <c r="F22" i="7"/>
  <c r="F37" i="7"/>
  <c r="F2" i="7"/>
  <c r="F38" i="7"/>
  <c r="F11" i="7"/>
  <c r="F39" i="7"/>
  <c r="F4" i="7"/>
  <c r="F40" i="7"/>
  <c r="F19" i="7"/>
  <c r="F42" i="7"/>
  <c r="F28" i="7"/>
  <c r="F43" i="7"/>
  <c r="F15" i="7"/>
  <c r="F44" i="7"/>
  <c r="F31" i="7"/>
  <c r="I51" i="7"/>
  <c r="H32" i="24"/>
  <c r="H2" i="24"/>
  <c r="AR27" i="27"/>
  <c r="AR76" i="27"/>
  <c r="AS27" i="27"/>
  <c r="AS76" i="27"/>
  <c r="AV76" i="27"/>
  <c r="AU76" i="27"/>
  <c r="AT76" i="27"/>
  <c r="AP27" i="27"/>
  <c r="AO27" i="27"/>
  <c r="AQ27" i="27"/>
  <c r="AQ76" i="27"/>
  <c r="AP76" i="27"/>
  <c r="AO76" i="27"/>
  <c r="AI27" i="27"/>
  <c r="AI76" i="27"/>
  <c r="AN76" i="27"/>
  <c r="AH27" i="27"/>
  <c r="AH76" i="27"/>
  <c r="AM76" i="27"/>
  <c r="AG27" i="27"/>
  <c r="AG76" i="27"/>
  <c r="AL76" i="27"/>
  <c r="AF27" i="27"/>
  <c r="AF76" i="27"/>
  <c r="AK76" i="27"/>
  <c r="AE27" i="27"/>
  <c r="AE76" i="27"/>
  <c r="AJ76" i="27"/>
  <c r="AD27" i="27"/>
  <c r="AD76" i="27"/>
  <c r="AC27" i="27"/>
  <c r="AC76" i="27"/>
  <c r="AB27" i="27"/>
  <c r="AB76" i="27"/>
  <c r="AA27" i="27"/>
  <c r="AA76" i="27"/>
  <c r="Z27" i="27"/>
  <c r="Z76" i="27"/>
  <c r="AR18" i="27"/>
  <c r="AR75" i="27"/>
  <c r="AS18" i="27"/>
  <c r="AS75" i="27"/>
  <c r="AV75" i="27"/>
  <c r="AU75" i="27"/>
  <c r="AT75" i="27"/>
  <c r="AP18" i="27"/>
  <c r="AO18" i="27"/>
  <c r="AQ18" i="27"/>
  <c r="AQ75" i="27"/>
  <c r="AP75" i="27"/>
  <c r="AO75" i="27"/>
  <c r="AI18" i="27"/>
  <c r="AI75" i="27"/>
  <c r="AN75" i="27"/>
  <c r="AH18" i="27"/>
  <c r="AH75" i="27"/>
  <c r="AM75" i="27"/>
  <c r="AG18" i="27"/>
  <c r="AG75" i="27"/>
  <c r="AL75" i="27"/>
  <c r="AF18" i="27"/>
  <c r="AF75" i="27"/>
  <c r="AK75" i="27"/>
  <c r="AE18" i="27"/>
  <c r="AE75" i="27"/>
  <c r="AJ75" i="27"/>
  <c r="AD18" i="27"/>
  <c r="AD75" i="27"/>
  <c r="AC18" i="27"/>
  <c r="AC75" i="27"/>
  <c r="AB18" i="27"/>
  <c r="AB75" i="27"/>
  <c r="AA18" i="27"/>
  <c r="AA75" i="27"/>
  <c r="Z18" i="27"/>
  <c r="Z75" i="27"/>
  <c r="AR12" i="27"/>
  <c r="AR74" i="27"/>
  <c r="AS12" i="27"/>
  <c r="AS74" i="27"/>
  <c r="AV74" i="27"/>
  <c r="AU74" i="27"/>
  <c r="AT74" i="27"/>
  <c r="AP12" i="27"/>
  <c r="AO12" i="27"/>
  <c r="AQ12" i="27"/>
  <c r="AQ74" i="27"/>
  <c r="AP74" i="27"/>
  <c r="AO74" i="27"/>
  <c r="AI12" i="27"/>
  <c r="AI74" i="27"/>
  <c r="AN74" i="27"/>
  <c r="AH12" i="27"/>
  <c r="AH74" i="27"/>
  <c r="AM74" i="27"/>
  <c r="AG12" i="27"/>
  <c r="AG74" i="27"/>
  <c r="AL74" i="27"/>
  <c r="AF12" i="27"/>
  <c r="AF74" i="27"/>
  <c r="AK74" i="27"/>
  <c r="AE12" i="27"/>
  <c r="AE74" i="27"/>
  <c r="AJ74" i="27"/>
  <c r="AD12" i="27"/>
  <c r="AD74" i="27"/>
  <c r="AC12" i="27"/>
  <c r="AC74" i="27"/>
  <c r="AB12" i="27"/>
  <c r="AB74" i="27"/>
  <c r="AA12" i="27"/>
  <c r="AA74" i="27"/>
  <c r="Z12" i="27"/>
  <c r="Z74" i="27"/>
  <c r="AR7" i="27"/>
  <c r="AR73" i="27"/>
  <c r="AS7" i="27"/>
  <c r="AS73" i="27"/>
  <c r="AV73" i="27"/>
  <c r="AU73" i="27"/>
  <c r="AT73" i="27"/>
  <c r="AP7" i="27"/>
  <c r="AO7" i="27"/>
  <c r="AQ7" i="27"/>
  <c r="AQ73" i="27"/>
  <c r="AP73" i="27"/>
  <c r="AO73" i="27"/>
  <c r="AI7" i="27"/>
  <c r="AI73" i="27"/>
  <c r="AN73" i="27"/>
  <c r="AH7" i="27"/>
  <c r="AH73" i="27"/>
  <c r="AM73" i="27"/>
  <c r="AG7" i="27"/>
  <c r="AG73" i="27"/>
  <c r="AL73" i="27"/>
  <c r="AF7" i="27"/>
  <c r="AF73" i="27"/>
  <c r="AK73" i="27"/>
  <c r="AE7" i="27"/>
  <c r="AE73" i="27"/>
  <c r="AJ73" i="27"/>
  <c r="AD7" i="27"/>
  <c r="AD73" i="27"/>
  <c r="AC7" i="27"/>
  <c r="AC73" i="27"/>
  <c r="AB7" i="27"/>
  <c r="AB73" i="27"/>
  <c r="AA7" i="27"/>
  <c r="AA73" i="27"/>
  <c r="Z7" i="27"/>
  <c r="Z73" i="27"/>
  <c r="AR16" i="27"/>
  <c r="AR72" i="27"/>
  <c r="AS16" i="27"/>
  <c r="AS72" i="27"/>
  <c r="AV72" i="27"/>
  <c r="AU72" i="27"/>
  <c r="AT72" i="27"/>
  <c r="AP16" i="27"/>
  <c r="AO16" i="27"/>
  <c r="AQ16" i="27"/>
  <c r="AQ72" i="27"/>
  <c r="AP72" i="27"/>
  <c r="AO72" i="27"/>
  <c r="AI16" i="27"/>
  <c r="AI72" i="27"/>
  <c r="AN72" i="27"/>
  <c r="AH16" i="27"/>
  <c r="AH72" i="27"/>
  <c r="AM72" i="27"/>
  <c r="AG16" i="27"/>
  <c r="AG72" i="27"/>
  <c r="AL72" i="27"/>
  <c r="AF16" i="27"/>
  <c r="AF72" i="27"/>
  <c r="AK72" i="27"/>
  <c r="AE16" i="27"/>
  <c r="AE72" i="27"/>
  <c r="AJ72" i="27"/>
  <c r="AD16" i="27"/>
  <c r="AD72" i="27"/>
  <c r="AC16" i="27"/>
  <c r="AC72" i="27"/>
  <c r="AB16" i="27"/>
  <c r="AB72" i="27"/>
  <c r="AA16" i="27"/>
  <c r="AA72" i="27"/>
  <c r="Z16" i="27"/>
  <c r="Z72" i="27"/>
  <c r="AR29" i="27"/>
  <c r="AR71" i="27"/>
  <c r="AS29" i="27"/>
  <c r="AS71" i="27"/>
  <c r="AV71" i="27"/>
  <c r="AU71" i="27"/>
  <c r="AT71" i="27"/>
  <c r="AP29" i="27"/>
  <c r="AO29" i="27"/>
  <c r="AQ29" i="27"/>
  <c r="AQ71" i="27"/>
  <c r="AP71" i="27"/>
  <c r="AO71" i="27"/>
  <c r="AI29" i="27"/>
  <c r="AI71" i="27"/>
  <c r="AN71" i="27"/>
  <c r="AH29" i="27"/>
  <c r="AH71" i="27"/>
  <c r="AM71" i="27"/>
  <c r="AG29" i="27"/>
  <c r="AG71" i="27"/>
  <c r="AL71" i="27"/>
  <c r="AF29" i="27"/>
  <c r="AF71" i="27"/>
  <c r="AK71" i="27"/>
  <c r="AE29" i="27"/>
  <c r="AE71" i="27"/>
  <c r="AJ71" i="27"/>
  <c r="AD29" i="27"/>
  <c r="AD71" i="27"/>
  <c r="AC29" i="27"/>
  <c r="AC71" i="27"/>
  <c r="AB29" i="27"/>
  <c r="AB71" i="27"/>
  <c r="AA29" i="27"/>
  <c r="AA71" i="27"/>
  <c r="Z29" i="27"/>
  <c r="Z71" i="27"/>
  <c r="AR20" i="27"/>
  <c r="AR70" i="27"/>
  <c r="AS20" i="27"/>
  <c r="AS70" i="27"/>
  <c r="AV70" i="27"/>
  <c r="AU70" i="27"/>
  <c r="AT70" i="27"/>
  <c r="AP20" i="27"/>
  <c r="AO20" i="27"/>
  <c r="AQ20" i="27"/>
  <c r="AQ70" i="27"/>
  <c r="AP70" i="27"/>
  <c r="AO70" i="27"/>
  <c r="AI20" i="27"/>
  <c r="AI70" i="27"/>
  <c r="AN70" i="27"/>
  <c r="AH20" i="27"/>
  <c r="AH70" i="27"/>
  <c r="AM70" i="27"/>
  <c r="AG20" i="27"/>
  <c r="AG70" i="27"/>
  <c r="AL70" i="27"/>
  <c r="AF20" i="27"/>
  <c r="AF70" i="27"/>
  <c r="AK70" i="27"/>
  <c r="AE20" i="27"/>
  <c r="AE70" i="27"/>
  <c r="AJ70" i="27"/>
  <c r="AD20" i="27"/>
  <c r="AD70" i="27"/>
  <c r="AC20" i="27"/>
  <c r="AC70" i="27"/>
  <c r="AB20" i="27"/>
  <c r="AB70" i="27"/>
  <c r="AA20" i="27"/>
  <c r="AA70" i="27"/>
  <c r="Z20" i="27"/>
  <c r="Z70" i="27"/>
  <c r="AR24" i="27"/>
  <c r="AR69" i="27"/>
  <c r="AS24" i="27"/>
  <c r="AS69" i="27"/>
  <c r="AV69" i="27"/>
  <c r="AU69" i="27"/>
  <c r="AT69" i="27"/>
  <c r="AP24" i="27"/>
  <c r="AO24" i="27"/>
  <c r="AQ24" i="27"/>
  <c r="AQ69" i="27"/>
  <c r="AP69" i="27"/>
  <c r="AO69" i="27"/>
  <c r="AI24" i="27"/>
  <c r="AI69" i="27"/>
  <c r="AN69" i="27"/>
  <c r="AH24" i="27"/>
  <c r="AH69" i="27"/>
  <c r="AM69" i="27"/>
  <c r="AG24" i="27"/>
  <c r="AG69" i="27"/>
  <c r="AL69" i="27"/>
  <c r="AF24" i="27"/>
  <c r="AF69" i="27"/>
  <c r="AK69" i="27"/>
  <c r="AE24" i="27"/>
  <c r="AE69" i="27"/>
  <c r="AJ69" i="27"/>
  <c r="AD24" i="27"/>
  <c r="AD69" i="27"/>
  <c r="AC24" i="27"/>
  <c r="AC69" i="27"/>
  <c r="AB24" i="27"/>
  <c r="AB69" i="27"/>
  <c r="AA24" i="27"/>
  <c r="AA69" i="27"/>
  <c r="Z24" i="27"/>
  <c r="Z69" i="27"/>
  <c r="AR9" i="27"/>
  <c r="AR68" i="27"/>
  <c r="AS9" i="27"/>
  <c r="AS68" i="27"/>
  <c r="AV68" i="27"/>
  <c r="AU68" i="27"/>
  <c r="AT68" i="27"/>
  <c r="AP9" i="27"/>
  <c r="AO9" i="27"/>
  <c r="AQ9" i="27"/>
  <c r="AQ68" i="27"/>
  <c r="AP68" i="27"/>
  <c r="AO68" i="27"/>
  <c r="AI9" i="27"/>
  <c r="AI68" i="27"/>
  <c r="AN68" i="27"/>
  <c r="AH9" i="27"/>
  <c r="AH68" i="27"/>
  <c r="AM68" i="27"/>
  <c r="AG9" i="27"/>
  <c r="AG68" i="27"/>
  <c r="AL68" i="27"/>
  <c r="AF9" i="27"/>
  <c r="AF68" i="27"/>
  <c r="AK68" i="27"/>
  <c r="AE9" i="27"/>
  <c r="AE68" i="27"/>
  <c r="AJ68" i="27"/>
  <c r="AD9" i="27"/>
  <c r="AD68" i="27"/>
  <c r="AC9" i="27"/>
  <c r="AC68" i="27"/>
  <c r="AB9" i="27"/>
  <c r="AB68" i="27"/>
  <c r="AA9" i="27"/>
  <c r="AA68" i="27"/>
  <c r="Z9" i="27"/>
  <c r="Z68" i="27"/>
  <c r="AR5" i="27"/>
  <c r="AR67" i="27"/>
  <c r="AS5" i="27"/>
  <c r="AS67" i="27"/>
  <c r="AV67" i="27"/>
  <c r="AU67" i="27"/>
  <c r="AT67" i="27"/>
  <c r="AP5" i="27"/>
  <c r="AO5" i="27"/>
  <c r="AQ5" i="27"/>
  <c r="AQ67" i="27"/>
  <c r="AP67" i="27"/>
  <c r="AO67" i="27"/>
  <c r="AI5" i="27"/>
  <c r="AI67" i="27"/>
  <c r="AN67" i="27"/>
  <c r="AH5" i="27"/>
  <c r="AH67" i="27"/>
  <c r="AM67" i="27"/>
  <c r="AG5" i="27"/>
  <c r="AG67" i="27"/>
  <c r="AL67" i="27"/>
  <c r="AF5" i="27"/>
  <c r="AF67" i="27"/>
  <c r="AK67" i="27"/>
  <c r="AE5" i="27"/>
  <c r="AE67" i="27"/>
  <c r="AJ67" i="27"/>
  <c r="AD5" i="27"/>
  <c r="AD67" i="27"/>
  <c r="AC5" i="27"/>
  <c r="AC67" i="27"/>
  <c r="AB5" i="27"/>
  <c r="AB67" i="27"/>
  <c r="AA5" i="27"/>
  <c r="AA67" i="27"/>
  <c r="Z5" i="27"/>
  <c r="Z67" i="27"/>
  <c r="AR17" i="27"/>
  <c r="AR66" i="27"/>
  <c r="AS17" i="27"/>
  <c r="AS66" i="27"/>
  <c r="AV66" i="27"/>
  <c r="AU66" i="27"/>
  <c r="AT66" i="27"/>
  <c r="AP17" i="27"/>
  <c r="AO17" i="27"/>
  <c r="AQ17" i="27"/>
  <c r="AQ66" i="27"/>
  <c r="AP66" i="27"/>
  <c r="AO66" i="27"/>
  <c r="AI17" i="27"/>
  <c r="AI66" i="27"/>
  <c r="AN66" i="27"/>
  <c r="AH17" i="27"/>
  <c r="AH66" i="27"/>
  <c r="AM66" i="27"/>
  <c r="AG17" i="27"/>
  <c r="AG66" i="27"/>
  <c r="AL66" i="27"/>
  <c r="AF17" i="27"/>
  <c r="AF66" i="27"/>
  <c r="AK66" i="27"/>
  <c r="AE17" i="27"/>
  <c r="AE66" i="27"/>
  <c r="AJ66" i="27"/>
  <c r="AD17" i="27"/>
  <c r="AD66" i="27"/>
  <c r="AC17" i="27"/>
  <c r="AC66" i="27"/>
  <c r="AB17" i="27"/>
  <c r="AB66" i="27"/>
  <c r="AA17" i="27"/>
  <c r="AA66" i="27"/>
  <c r="Z17" i="27"/>
  <c r="Z66" i="27"/>
  <c r="AR21" i="27"/>
  <c r="AR65" i="27"/>
  <c r="AS21" i="27"/>
  <c r="AS65" i="27"/>
  <c r="AV65" i="27"/>
  <c r="AU65" i="27"/>
  <c r="AT65" i="27"/>
  <c r="AP21" i="27"/>
  <c r="AO21" i="27"/>
  <c r="AQ21" i="27"/>
  <c r="AQ65" i="27"/>
  <c r="AP65" i="27"/>
  <c r="AO65" i="27"/>
  <c r="AI21" i="27"/>
  <c r="AI65" i="27"/>
  <c r="AN65" i="27"/>
  <c r="AH21" i="27"/>
  <c r="AH65" i="27"/>
  <c r="AM65" i="27"/>
  <c r="AG21" i="27"/>
  <c r="AG65" i="27"/>
  <c r="AL65" i="27"/>
  <c r="AF21" i="27"/>
  <c r="AF65" i="27"/>
  <c r="AK65" i="27"/>
  <c r="AE21" i="27"/>
  <c r="AE65" i="27"/>
  <c r="AJ65" i="27"/>
  <c r="AD21" i="27"/>
  <c r="AD65" i="27"/>
  <c r="AC21" i="27"/>
  <c r="AC65" i="27"/>
  <c r="AB21" i="27"/>
  <c r="AB65" i="27"/>
  <c r="AA21" i="27"/>
  <c r="AA65" i="27"/>
  <c r="Z21" i="27"/>
  <c r="Z65" i="27"/>
  <c r="AR25" i="27"/>
  <c r="AR64" i="27"/>
  <c r="AS25" i="27"/>
  <c r="AS64" i="27"/>
  <c r="AV64" i="27"/>
  <c r="AU64" i="27"/>
  <c r="AT64" i="27"/>
  <c r="AP25" i="27"/>
  <c r="AO25" i="27"/>
  <c r="AQ25" i="27"/>
  <c r="AQ64" i="27"/>
  <c r="AP64" i="27"/>
  <c r="AO64" i="27"/>
  <c r="AI25" i="27"/>
  <c r="AI64" i="27"/>
  <c r="AN64" i="27"/>
  <c r="AH25" i="27"/>
  <c r="AH64" i="27"/>
  <c r="AM64" i="27"/>
  <c r="AG25" i="27"/>
  <c r="AG64" i="27"/>
  <c r="AL64" i="27"/>
  <c r="AF25" i="27"/>
  <c r="AF64" i="27"/>
  <c r="AK64" i="27"/>
  <c r="AE25" i="27"/>
  <c r="AE64" i="27"/>
  <c r="AJ64" i="27"/>
  <c r="AD25" i="27"/>
  <c r="AD64" i="27"/>
  <c r="AC25" i="27"/>
  <c r="AC64" i="27"/>
  <c r="AB25" i="27"/>
  <c r="AB64" i="27"/>
  <c r="AA25" i="27"/>
  <c r="AA64" i="27"/>
  <c r="Z25" i="27"/>
  <c r="Z64" i="27"/>
  <c r="AV63" i="27"/>
  <c r="AU63" i="27"/>
  <c r="AT63" i="27"/>
  <c r="AQ63" i="27"/>
  <c r="AP63" i="27"/>
  <c r="AO63" i="27"/>
  <c r="AN63" i="27"/>
  <c r="AM63" i="27"/>
  <c r="AL63" i="27"/>
  <c r="AK63" i="27"/>
  <c r="AJ63" i="27"/>
  <c r="AD63" i="27"/>
  <c r="AC63" i="27"/>
  <c r="AB63" i="27"/>
  <c r="AA63" i="27"/>
  <c r="Z63" i="27"/>
  <c r="AR62" i="27"/>
  <c r="AS62" i="27"/>
  <c r="AV62" i="27"/>
  <c r="AU62" i="27"/>
  <c r="AT62" i="27"/>
  <c r="AQ62" i="27"/>
  <c r="AP62" i="27"/>
  <c r="AO62" i="27"/>
  <c r="AI62" i="27"/>
  <c r="AN62" i="27"/>
  <c r="AH62" i="27"/>
  <c r="AM62" i="27"/>
  <c r="AG62" i="27"/>
  <c r="AL62" i="27"/>
  <c r="AF62" i="27"/>
  <c r="AK62" i="27"/>
  <c r="AE62" i="27"/>
  <c r="AJ62" i="27"/>
  <c r="AD62" i="27"/>
  <c r="AC62" i="27"/>
  <c r="AB62" i="27"/>
  <c r="AA62" i="27"/>
  <c r="Z62" i="27"/>
  <c r="AR61" i="27"/>
  <c r="AS61" i="27"/>
  <c r="AV61" i="27"/>
  <c r="AU61" i="27"/>
  <c r="AT61" i="27"/>
  <c r="AQ61" i="27"/>
  <c r="AP61" i="27"/>
  <c r="AO61" i="27"/>
  <c r="AI61" i="27"/>
  <c r="AN61" i="27"/>
  <c r="AH61" i="27"/>
  <c r="AM61" i="27"/>
  <c r="AG61" i="27"/>
  <c r="AL61" i="27"/>
  <c r="AF61" i="27"/>
  <c r="AK61" i="27"/>
  <c r="AE61" i="27"/>
  <c r="AJ61" i="27"/>
  <c r="AD61" i="27"/>
  <c r="AC61" i="27"/>
  <c r="AB61" i="27"/>
  <c r="AA61" i="27"/>
  <c r="Z61" i="27"/>
  <c r="AR60" i="27"/>
  <c r="AS60" i="27"/>
  <c r="AV60" i="27"/>
  <c r="AU60" i="27"/>
  <c r="AT60" i="27"/>
  <c r="AQ60" i="27"/>
  <c r="AP60" i="27"/>
  <c r="AO60" i="27"/>
  <c r="AI60" i="27"/>
  <c r="AN60" i="27"/>
  <c r="AH60" i="27"/>
  <c r="AM60" i="27"/>
  <c r="AG60" i="27"/>
  <c r="AL60" i="27"/>
  <c r="AF60" i="27"/>
  <c r="AK60" i="27"/>
  <c r="AE60" i="27"/>
  <c r="AJ60" i="27"/>
  <c r="AD60" i="27"/>
  <c r="AC60" i="27"/>
  <c r="AB60" i="27"/>
  <c r="AA60" i="27"/>
  <c r="Z60" i="27"/>
  <c r="AR59" i="27"/>
  <c r="AS59" i="27"/>
  <c r="AV59" i="27"/>
  <c r="AU59" i="27"/>
  <c r="AT59" i="27"/>
  <c r="AQ59" i="27"/>
  <c r="AP59" i="27"/>
  <c r="AO59" i="27"/>
  <c r="AI59" i="27"/>
  <c r="AN59" i="27"/>
  <c r="AH59" i="27"/>
  <c r="AM59" i="27"/>
  <c r="AG59" i="27"/>
  <c r="AL59" i="27"/>
  <c r="AF59" i="27"/>
  <c r="AK59" i="27"/>
  <c r="AE59" i="27"/>
  <c r="AJ59" i="27"/>
  <c r="AD59" i="27"/>
  <c r="AC59" i="27"/>
  <c r="AB59" i="27"/>
  <c r="AA59" i="27"/>
  <c r="Z59" i="27"/>
  <c r="AR58" i="27"/>
  <c r="AS58" i="27"/>
  <c r="AV58" i="27"/>
  <c r="AU58" i="27"/>
  <c r="AT58" i="27"/>
  <c r="AQ58" i="27"/>
  <c r="AP58" i="27"/>
  <c r="AO58" i="27"/>
  <c r="AI58" i="27"/>
  <c r="AN58" i="27"/>
  <c r="AH58" i="27"/>
  <c r="AM58" i="27"/>
  <c r="AG58" i="27"/>
  <c r="AL58" i="27"/>
  <c r="AF58" i="27"/>
  <c r="AK58" i="27"/>
  <c r="AE58" i="27"/>
  <c r="AJ58" i="27"/>
  <c r="AD58" i="27"/>
  <c r="AC58" i="27"/>
  <c r="AB58" i="27"/>
  <c r="AA58" i="27"/>
  <c r="Z58" i="27"/>
  <c r="AR57" i="27"/>
  <c r="AS57" i="27"/>
  <c r="AV57" i="27"/>
  <c r="AU57" i="27"/>
  <c r="AT57" i="27"/>
  <c r="AQ57" i="27"/>
  <c r="AP57" i="27"/>
  <c r="AO57" i="27"/>
  <c r="AI57" i="27"/>
  <c r="AN57" i="27"/>
  <c r="AH57" i="27"/>
  <c r="AM57" i="27"/>
  <c r="AG57" i="27"/>
  <c r="AL57" i="27"/>
  <c r="AF57" i="27"/>
  <c r="AK57" i="27"/>
  <c r="AE57" i="27"/>
  <c r="AJ57" i="27"/>
  <c r="AD57" i="27"/>
  <c r="AC57" i="27"/>
  <c r="AB57" i="27"/>
  <c r="AA57" i="27"/>
  <c r="Z57" i="27"/>
  <c r="AR56" i="27"/>
  <c r="AS56" i="27"/>
  <c r="AV56" i="27"/>
  <c r="AU56" i="27"/>
  <c r="AT56" i="27"/>
  <c r="AQ56" i="27"/>
  <c r="AP56" i="27"/>
  <c r="AO56" i="27"/>
  <c r="AI56" i="27"/>
  <c r="AN56" i="27"/>
  <c r="AH56" i="27"/>
  <c r="AM56" i="27"/>
  <c r="AG56" i="27"/>
  <c r="AL56" i="27"/>
  <c r="AF56" i="27"/>
  <c r="AK56" i="27"/>
  <c r="AE56" i="27"/>
  <c r="AJ56" i="27"/>
  <c r="AD56" i="27"/>
  <c r="AC56" i="27"/>
  <c r="AB56" i="27"/>
  <c r="AA56" i="27"/>
  <c r="Z56" i="27"/>
  <c r="AR55" i="27"/>
  <c r="AS55" i="27"/>
  <c r="AV55" i="27"/>
  <c r="AU55" i="27"/>
  <c r="AT55" i="27"/>
  <c r="AQ55" i="27"/>
  <c r="AP55" i="27"/>
  <c r="AO55" i="27"/>
  <c r="AI55" i="27"/>
  <c r="AN55" i="27"/>
  <c r="AH55" i="27"/>
  <c r="AM55" i="27"/>
  <c r="AG55" i="27"/>
  <c r="AL55" i="27"/>
  <c r="AF55" i="27"/>
  <c r="AK55" i="27"/>
  <c r="AE55" i="27"/>
  <c r="AJ55" i="27"/>
  <c r="AD55" i="27"/>
  <c r="AC55" i="27"/>
  <c r="AB55" i="27"/>
  <c r="AA55" i="27"/>
  <c r="Z55" i="27"/>
  <c r="AR54" i="27"/>
  <c r="AS54" i="27"/>
  <c r="AV54" i="27"/>
  <c r="AU54" i="27"/>
  <c r="AT54" i="27"/>
  <c r="AQ54" i="27"/>
  <c r="AP54" i="27"/>
  <c r="AO54" i="27"/>
  <c r="AI54" i="27"/>
  <c r="AN54" i="27"/>
  <c r="AH54" i="27"/>
  <c r="AM54" i="27"/>
  <c r="AG54" i="27"/>
  <c r="AL54" i="27"/>
  <c r="AF54" i="27"/>
  <c r="AK54" i="27"/>
  <c r="AE54" i="27"/>
  <c r="AJ54" i="27"/>
  <c r="AD54" i="27"/>
  <c r="AC54" i="27"/>
  <c r="AB54" i="27"/>
  <c r="AA54" i="27"/>
  <c r="Z54" i="27"/>
  <c r="AR53" i="27"/>
  <c r="AS53" i="27"/>
  <c r="AV53" i="27"/>
  <c r="AU53" i="27"/>
  <c r="AT53" i="27"/>
  <c r="AQ53" i="27"/>
  <c r="AP53" i="27"/>
  <c r="AO53" i="27"/>
  <c r="AI53" i="27"/>
  <c r="AN53" i="27"/>
  <c r="AH53" i="27"/>
  <c r="AM53" i="27"/>
  <c r="AG53" i="27"/>
  <c r="AL53" i="27"/>
  <c r="AF53" i="27"/>
  <c r="AK53" i="27"/>
  <c r="AE53" i="27"/>
  <c r="AJ53" i="27"/>
  <c r="AD53" i="27"/>
  <c r="AC53" i="27"/>
  <c r="AB53" i="27"/>
  <c r="AA53" i="27"/>
  <c r="Z53" i="27"/>
  <c r="AR52" i="27"/>
  <c r="AS52" i="27"/>
  <c r="AV52" i="27"/>
  <c r="AU52" i="27"/>
  <c r="AT52" i="27"/>
  <c r="AQ52" i="27"/>
  <c r="AP52" i="27"/>
  <c r="AO52" i="27"/>
  <c r="AI52" i="27"/>
  <c r="AN52" i="27"/>
  <c r="AH52" i="27"/>
  <c r="AM52" i="27"/>
  <c r="AG52" i="27"/>
  <c r="AL52" i="27"/>
  <c r="AF52" i="27"/>
  <c r="AK52" i="27"/>
  <c r="AE52" i="27"/>
  <c r="AJ52" i="27"/>
  <c r="AD52" i="27"/>
  <c r="AC52" i="27"/>
  <c r="AB52" i="27"/>
  <c r="AA52" i="27"/>
  <c r="Z52" i="27"/>
  <c r="AR51" i="27"/>
  <c r="AS51" i="27"/>
  <c r="AV51" i="27"/>
  <c r="AU51" i="27"/>
  <c r="AT51" i="27"/>
  <c r="AQ51" i="27"/>
  <c r="AP51" i="27"/>
  <c r="AO51" i="27"/>
  <c r="AI51" i="27"/>
  <c r="AN51" i="27"/>
  <c r="AH51" i="27"/>
  <c r="AM51" i="27"/>
  <c r="AG51" i="27"/>
  <c r="AL51" i="27"/>
  <c r="AF51" i="27"/>
  <c r="AK51" i="27"/>
  <c r="AE51" i="27"/>
  <c r="AJ51" i="27"/>
  <c r="AD51" i="27"/>
  <c r="AC51" i="27"/>
  <c r="AB51" i="27"/>
  <c r="AA51" i="27"/>
  <c r="Z51" i="27"/>
  <c r="AR50" i="27"/>
  <c r="AS50" i="27"/>
  <c r="AV50" i="27"/>
  <c r="AU50" i="27"/>
  <c r="AT50" i="27"/>
  <c r="AQ50" i="27"/>
  <c r="AP50" i="27"/>
  <c r="AO50" i="27"/>
  <c r="AI50" i="27"/>
  <c r="AN50" i="27"/>
  <c r="AH50" i="27"/>
  <c r="AM50" i="27"/>
  <c r="AG50" i="27"/>
  <c r="AL50" i="27"/>
  <c r="AF50" i="27"/>
  <c r="AK50" i="27"/>
  <c r="AE50" i="27"/>
  <c r="AJ50" i="27"/>
  <c r="AD50" i="27"/>
  <c r="AC50" i="27"/>
  <c r="AB50" i="27"/>
  <c r="AA50" i="27"/>
  <c r="Z50" i="27"/>
  <c r="AR23" i="27"/>
  <c r="AR49" i="27"/>
  <c r="AS23" i="27"/>
  <c r="AS49" i="27"/>
  <c r="AV49" i="27"/>
  <c r="AU49" i="27"/>
  <c r="AT49" i="27"/>
  <c r="AP23" i="27"/>
  <c r="AO23" i="27"/>
  <c r="AQ23" i="27"/>
  <c r="AQ49" i="27"/>
  <c r="AP49" i="27"/>
  <c r="AO49" i="27"/>
  <c r="AI23" i="27"/>
  <c r="AI49" i="27"/>
  <c r="AN49" i="27"/>
  <c r="AH23" i="27"/>
  <c r="AH49" i="27"/>
  <c r="AM49" i="27"/>
  <c r="AG23" i="27"/>
  <c r="AG49" i="27"/>
  <c r="AL49" i="27"/>
  <c r="AF23" i="27"/>
  <c r="AF49" i="27"/>
  <c r="AK49" i="27"/>
  <c r="AE23" i="27"/>
  <c r="AE49" i="27"/>
  <c r="AJ49" i="27"/>
  <c r="AD23" i="27"/>
  <c r="AD49" i="27"/>
  <c r="AC23" i="27"/>
  <c r="AC49" i="27"/>
  <c r="AB23" i="27"/>
  <c r="AB49" i="27"/>
  <c r="AA23" i="27"/>
  <c r="AA49" i="27"/>
  <c r="Z23" i="27"/>
  <c r="Z49" i="27"/>
  <c r="AV48" i="27"/>
  <c r="AU48" i="27"/>
  <c r="AT48" i="27"/>
  <c r="AQ48" i="27"/>
  <c r="AP48" i="27"/>
  <c r="AO48" i="27"/>
  <c r="AN48" i="27"/>
  <c r="AM48" i="27"/>
  <c r="AL48" i="27"/>
  <c r="AK48" i="27"/>
  <c r="AJ48" i="27"/>
  <c r="AD48" i="27"/>
  <c r="AC48" i="27"/>
  <c r="AB48" i="27"/>
  <c r="AA48" i="27"/>
  <c r="Z48" i="27"/>
  <c r="AR6" i="27"/>
  <c r="AR47" i="27"/>
  <c r="AS6" i="27"/>
  <c r="AS47" i="27"/>
  <c r="AV47" i="27"/>
  <c r="AU47" i="27"/>
  <c r="AT47" i="27"/>
  <c r="AP6" i="27"/>
  <c r="AO6" i="27"/>
  <c r="AQ6" i="27"/>
  <c r="AQ47" i="27"/>
  <c r="AP47" i="27"/>
  <c r="AO47" i="27"/>
  <c r="AI6" i="27"/>
  <c r="AI47" i="27"/>
  <c r="AN47" i="27"/>
  <c r="AH6" i="27"/>
  <c r="AH47" i="27"/>
  <c r="AM47" i="27"/>
  <c r="AG6" i="27"/>
  <c r="AG47" i="27"/>
  <c r="AL47" i="27"/>
  <c r="AF6" i="27"/>
  <c r="AF47" i="27"/>
  <c r="AK47" i="27"/>
  <c r="AE6" i="27"/>
  <c r="AE47" i="27"/>
  <c r="AJ47" i="27"/>
  <c r="AD6" i="27"/>
  <c r="AD47" i="27"/>
  <c r="AC6" i="27"/>
  <c r="AC47" i="27"/>
  <c r="AB6" i="27"/>
  <c r="AB47" i="27"/>
  <c r="AA6" i="27"/>
  <c r="AA47" i="27"/>
  <c r="Z6" i="27"/>
  <c r="Z47" i="27"/>
  <c r="AR10" i="27"/>
  <c r="AR46" i="27"/>
  <c r="AS10" i="27"/>
  <c r="AS46" i="27"/>
  <c r="AV46" i="27"/>
  <c r="AU46" i="27"/>
  <c r="AT46" i="27"/>
  <c r="AP10" i="27"/>
  <c r="AO10" i="27"/>
  <c r="AQ10" i="27"/>
  <c r="AQ46" i="27"/>
  <c r="AP46" i="27"/>
  <c r="AO46" i="27"/>
  <c r="AI10" i="27"/>
  <c r="AI46" i="27"/>
  <c r="AN46" i="27"/>
  <c r="AH10" i="27"/>
  <c r="AH46" i="27"/>
  <c r="AM46" i="27"/>
  <c r="AG10" i="27"/>
  <c r="AG46" i="27"/>
  <c r="AL46" i="27"/>
  <c r="AF10" i="27"/>
  <c r="AF46" i="27"/>
  <c r="AK46" i="27"/>
  <c r="AE10" i="27"/>
  <c r="AE46" i="27"/>
  <c r="AJ46" i="27"/>
  <c r="AD10" i="27"/>
  <c r="AD46" i="27"/>
  <c r="AC10" i="27"/>
  <c r="AC46" i="27"/>
  <c r="AB10" i="27"/>
  <c r="AB46" i="27"/>
  <c r="AA10" i="27"/>
  <c r="AA46" i="27"/>
  <c r="Z10" i="27"/>
  <c r="Z46" i="27"/>
  <c r="AV45" i="27"/>
  <c r="AU45" i="27"/>
  <c r="AT45" i="27"/>
  <c r="AQ45" i="27"/>
  <c r="AP45" i="27"/>
  <c r="AO45" i="27"/>
  <c r="AN45" i="27"/>
  <c r="AM45" i="27"/>
  <c r="AL45" i="27"/>
  <c r="AK45" i="27"/>
  <c r="AJ45" i="27"/>
  <c r="AD45" i="27"/>
  <c r="AC45" i="27"/>
  <c r="AB45" i="27"/>
  <c r="AA45" i="27"/>
  <c r="Z45" i="27"/>
  <c r="AR15" i="27"/>
  <c r="AR44" i="27"/>
  <c r="AS15" i="27"/>
  <c r="AS44" i="27"/>
  <c r="AV44" i="27"/>
  <c r="AU44" i="27"/>
  <c r="AT44" i="27"/>
  <c r="AP15" i="27"/>
  <c r="AO15" i="27"/>
  <c r="AQ15" i="27"/>
  <c r="AQ44" i="27"/>
  <c r="AP44" i="27"/>
  <c r="AO44" i="27"/>
  <c r="AI15" i="27"/>
  <c r="AI44" i="27"/>
  <c r="AN44" i="27"/>
  <c r="AH15" i="27"/>
  <c r="AH44" i="27"/>
  <c r="AM44" i="27"/>
  <c r="AG15" i="27"/>
  <c r="AG44" i="27"/>
  <c r="AL44" i="27"/>
  <c r="AF15" i="27"/>
  <c r="AF44" i="27"/>
  <c r="AK44" i="27"/>
  <c r="AE15" i="27"/>
  <c r="AE44" i="27"/>
  <c r="AJ44" i="27"/>
  <c r="AD15" i="27"/>
  <c r="AD44" i="27"/>
  <c r="AC15" i="27"/>
  <c r="AC44" i="27"/>
  <c r="AB15" i="27"/>
  <c r="AB44" i="27"/>
  <c r="AA15" i="27"/>
  <c r="AA44" i="27"/>
  <c r="Z15" i="27"/>
  <c r="Z44" i="27"/>
  <c r="AR28" i="27"/>
  <c r="AR43" i="27"/>
  <c r="AS28" i="27"/>
  <c r="AS43" i="27"/>
  <c r="AV43" i="27"/>
  <c r="AU43" i="27"/>
  <c r="AT43" i="27"/>
  <c r="AP28" i="27"/>
  <c r="AO28" i="27"/>
  <c r="AQ28" i="27"/>
  <c r="AQ43" i="27"/>
  <c r="AP43" i="27"/>
  <c r="AO43" i="27"/>
  <c r="AI28" i="27"/>
  <c r="AI43" i="27"/>
  <c r="AN43" i="27"/>
  <c r="AH28" i="27"/>
  <c r="AH43" i="27"/>
  <c r="AM43" i="27"/>
  <c r="AG28" i="27"/>
  <c r="AG43" i="27"/>
  <c r="AL43" i="27"/>
  <c r="AF28" i="27"/>
  <c r="AF43" i="27"/>
  <c r="AK43" i="27"/>
  <c r="AE28" i="27"/>
  <c r="AE43" i="27"/>
  <c r="AJ43" i="27"/>
  <c r="AD28" i="27"/>
  <c r="AD43" i="27"/>
  <c r="AC28" i="27"/>
  <c r="AC43" i="27"/>
  <c r="AB28" i="27"/>
  <c r="AB43" i="27"/>
  <c r="AA28" i="27"/>
  <c r="AA43" i="27"/>
  <c r="Z28" i="27"/>
  <c r="Z43" i="27"/>
  <c r="AR19" i="27"/>
  <c r="AR42" i="27"/>
  <c r="AS19" i="27"/>
  <c r="AS42" i="27"/>
  <c r="AV42" i="27"/>
  <c r="AU42" i="27"/>
  <c r="AT42" i="27"/>
  <c r="AP19" i="27"/>
  <c r="AO19" i="27"/>
  <c r="AQ19" i="27"/>
  <c r="AQ42" i="27"/>
  <c r="AP42" i="27"/>
  <c r="AO42" i="27"/>
  <c r="AI19" i="27"/>
  <c r="AI42" i="27"/>
  <c r="AN42" i="27"/>
  <c r="AH19" i="27"/>
  <c r="AH42" i="27"/>
  <c r="AM42" i="27"/>
  <c r="AG19" i="27"/>
  <c r="AG42" i="27"/>
  <c r="AL42" i="27"/>
  <c r="AF19" i="27"/>
  <c r="AF42" i="27"/>
  <c r="AK42" i="27"/>
  <c r="AE19" i="27"/>
  <c r="AE42" i="27"/>
  <c r="AJ42" i="27"/>
  <c r="AD19" i="27"/>
  <c r="AD42" i="27"/>
  <c r="AC19" i="27"/>
  <c r="AC42" i="27"/>
  <c r="AB19" i="27"/>
  <c r="AB42" i="27"/>
  <c r="AA19" i="27"/>
  <c r="AA42" i="27"/>
  <c r="Z19" i="27"/>
  <c r="Z42" i="27"/>
  <c r="AR8" i="27"/>
  <c r="AR41" i="27"/>
  <c r="AS8" i="27"/>
  <c r="AS41" i="27"/>
  <c r="AV41" i="27"/>
  <c r="AU41" i="27"/>
  <c r="AT41" i="27"/>
  <c r="AP8" i="27"/>
  <c r="AO8" i="27"/>
  <c r="AQ8" i="27"/>
  <c r="AQ41" i="27"/>
  <c r="AP41" i="27"/>
  <c r="AO41" i="27"/>
  <c r="AI8" i="27"/>
  <c r="AI41" i="27"/>
  <c r="AN41" i="27"/>
  <c r="AH8" i="27"/>
  <c r="AH41" i="27"/>
  <c r="AM41" i="27"/>
  <c r="AG8" i="27"/>
  <c r="AG41" i="27"/>
  <c r="AL41" i="27"/>
  <c r="AF8" i="27"/>
  <c r="AF41" i="27"/>
  <c r="AK41" i="27"/>
  <c r="AE8" i="27"/>
  <c r="AE41" i="27"/>
  <c r="AJ41" i="27"/>
  <c r="AD8" i="27"/>
  <c r="AD41" i="27"/>
  <c r="AC8" i="27"/>
  <c r="AC41" i="27"/>
  <c r="AB8" i="27"/>
  <c r="AB41" i="27"/>
  <c r="AA8" i="27"/>
  <c r="AA41" i="27"/>
  <c r="Z8" i="27"/>
  <c r="Z41" i="27"/>
  <c r="AR4" i="27"/>
  <c r="AR40" i="27"/>
  <c r="AS4" i="27"/>
  <c r="AS40" i="27"/>
  <c r="AV40" i="27"/>
  <c r="AU40" i="27"/>
  <c r="AT40" i="27"/>
  <c r="AP4" i="27"/>
  <c r="AO4" i="27"/>
  <c r="AQ4" i="27"/>
  <c r="AQ40" i="27"/>
  <c r="AP40" i="27"/>
  <c r="AO40" i="27"/>
  <c r="AI4" i="27"/>
  <c r="AI40" i="27"/>
  <c r="AN40" i="27"/>
  <c r="AH4" i="27"/>
  <c r="AH40" i="27"/>
  <c r="AM40" i="27"/>
  <c r="AG4" i="27"/>
  <c r="AG40" i="27"/>
  <c r="AL40" i="27"/>
  <c r="AF4" i="27"/>
  <c r="AF40" i="27"/>
  <c r="AK40" i="27"/>
  <c r="AE4" i="27"/>
  <c r="AE40" i="27"/>
  <c r="AJ40" i="27"/>
  <c r="AD4" i="27"/>
  <c r="AD40" i="27"/>
  <c r="AC4" i="27"/>
  <c r="AC40" i="27"/>
  <c r="AB4" i="27"/>
  <c r="AB40" i="27"/>
  <c r="AA4" i="27"/>
  <c r="AA40" i="27"/>
  <c r="Z4" i="27"/>
  <c r="Z40" i="27"/>
  <c r="AR11" i="27"/>
  <c r="AR39" i="27"/>
  <c r="AS11" i="27"/>
  <c r="AS39" i="27"/>
  <c r="AV39" i="27"/>
  <c r="AU39" i="27"/>
  <c r="AT39" i="27"/>
  <c r="AP11" i="27"/>
  <c r="AO11" i="27"/>
  <c r="AQ11" i="27"/>
  <c r="AQ39" i="27"/>
  <c r="AP39" i="27"/>
  <c r="AO39" i="27"/>
  <c r="AI11" i="27"/>
  <c r="AI39" i="27"/>
  <c r="AN39" i="27"/>
  <c r="AH11" i="27"/>
  <c r="AH39" i="27"/>
  <c r="AM39" i="27"/>
  <c r="AG11" i="27"/>
  <c r="AG39" i="27"/>
  <c r="AL39" i="27"/>
  <c r="AF11" i="27"/>
  <c r="AF39" i="27"/>
  <c r="AK39" i="27"/>
  <c r="AE11" i="27"/>
  <c r="AE39" i="27"/>
  <c r="AJ39" i="27"/>
  <c r="AD11" i="27"/>
  <c r="AD39" i="27"/>
  <c r="AC11" i="27"/>
  <c r="AC39" i="27"/>
  <c r="AB11" i="27"/>
  <c r="AB39" i="27"/>
  <c r="AA11" i="27"/>
  <c r="AA39" i="27"/>
  <c r="Z11" i="27"/>
  <c r="Z39" i="27"/>
  <c r="AR2" i="27"/>
  <c r="AR38" i="27"/>
  <c r="AS2" i="27"/>
  <c r="AS38" i="27"/>
  <c r="AV38" i="27"/>
  <c r="AU38" i="27"/>
  <c r="AT38" i="27"/>
  <c r="AP2" i="27"/>
  <c r="AO2" i="27"/>
  <c r="AQ2" i="27"/>
  <c r="AQ38" i="27"/>
  <c r="AP38" i="27"/>
  <c r="AO38" i="27"/>
  <c r="AI2" i="27"/>
  <c r="AI38" i="27"/>
  <c r="AN38" i="27"/>
  <c r="AH2" i="27"/>
  <c r="AH38" i="27"/>
  <c r="AM38" i="27"/>
  <c r="AG2" i="27"/>
  <c r="AG38" i="27"/>
  <c r="AL38" i="27"/>
  <c r="AF2" i="27"/>
  <c r="AF38" i="27"/>
  <c r="AK38" i="27"/>
  <c r="AE2" i="27"/>
  <c r="AE38" i="27"/>
  <c r="AJ38" i="27"/>
  <c r="AD2" i="27"/>
  <c r="AD38" i="27"/>
  <c r="AC2" i="27"/>
  <c r="AC38" i="27"/>
  <c r="AB2" i="27"/>
  <c r="AB38" i="27"/>
  <c r="AA2" i="27"/>
  <c r="AA38" i="27"/>
  <c r="Z2" i="27"/>
  <c r="Z38" i="27"/>
  <c r="AR22" i="27"/>
  <c r="AR37" i="27"/>
  <c r="AS22" i="27"/>
  <c r="AS37" i="27"/>
  <c r="AV37" i="27"/>
  <c r="AU37" i="27"/>
  <c r="AT37" i="27"/>
  <c r="AP22" i="27"/>
  <c r="AO22" i="27"/>
  <c r="AQ22" i="27"/>
  <c r="AQ37" i="27"/>
  <c r="AP37" i="27"/>
  <c r="AO37" i="27"/>
  <c r="AI22" i="27"/>
  <c r="AI37" i="27"/>
  <c r="AN37" i="27"/>
  <c r="AH22" i="27"/>
  <c r="AH37" i="27"/>
  <c r="AM37" i="27"/>
  <c r="AG22" i="27"/>
  <c r="AG37" i="27"/>
  <c r="AL37" i="27"/>
  <c r="AF22" i="27"/>
  <c r="AF37" i="27"/>
  <c r="AK37" i="27"/>
  <c r="AE22" i="27"/>
  <c r="AE37" i="27"/>
  <c r="AJ37" i="27"/>
  <c r="AD22" i="27"/>
  <c r="AD37" i="27"/>
  <c r="AC22" i="27"/>
  <c r="AC37" i="27"/>
  <c r="AB22" i="27"/>
  <c r="AB37" i="27"/>
  <c r="AA22" i="27"/>
  <c r="AA37" i="27"/>
  <c r="Z22" i="27"/>
  <c r="Z37" i="27"/>
  <c r="AR26" i="27"/>
  <c r="AR36" i="27"/>
  <c r="AS26" i="27"/>
  <c r="AS36" i="27"/>
  <c r="AV36" i="27"/>
  <c r="AU36" i="27"/>
  <c r="AT36" i="27"/>
  <c r="AP26" i="27"/>
  <c r="AO26" i="27"/>
  <c r="AQ26" i="27"/>
  <c r="AQ36" i="27"/>
  <c r="AP36" i="27"/>
  <c r="AO36" i="27"/>
  <c r="AI26" i="27"/>
  <c r="AI36" i="27"/>
  <c r="AN36" i="27"/>
  <c r="AH26" i="27"/>
  <c r="AH36" i="27"/>
  <c r="AM36" i="27"/>
  <c r="AG26" i="27"/>
  <c r="AG36" i="27"/>
  <c r="AL36" i="27"/>
  <c r="AF26" i="27"/>
  <c r="AF36" i="27"/>
  <c r="AK36" i="27"/>
  <c r="AE26" i="27"/>
  <c r="AE36" i="27"/>
  <c r="AJ36" i="27"/>
  <c r="AD26" i="27"/>
  <c r="AD36" i="27"/>
  <c r="AC26" i="27"/>
  <c r="AC36" i="27"/>
  <c r="AB26" i="27"/>
  <c r="AB36" i="27"/>
  <c r="AA26" i="27"/>
  <c r="AA36" i="27"/>
  <c r="Z26" i="27"/>
  <c r="Z36" i="27"/>
  <c r="AR30" i="27"/>
  <c r="AR35" i="27"/>
  <c r="AS30" i="27"/>
  <c r="AS35" i="27"/>
  <c r="AV35" i="27"/>
  <c r="AU35" i="27"/>
  <c r="AT35" i="27"/>
  <c r="AP30" i="27"/>
  <c r="AO30" i="27"/>
  <c r="AQ30" i="27"/>
  <c r="AQ35" i="27"/>
  <c r="AP35" i="27"/>
  <c r="AO35" i="27"/>
  <c r="AI30" i="27"/>
  <c r="AI35" i="27"/>
  <c r="AN35" i="27"/>
  <c r="AH30" i="27"/>
  <c r="AH35" i="27"/>
  <c r="AM35" i="27"/>
  <c r="AG30" i="27"/>
  <c r="AG35" i="27"/>
  <c r="AL35" i="27"/>
  <c r="AF30" i="27"/>
  <c r="AF35" i="27"/>
  <c r="AK35" i="27"/>
  <c r="AE30" i="27"/>
  <c r="AE35" i="27"/>
  <c r="AJ35" i="27"/>
  <c r="AD30" i="27"/>
  <c r="AD35" i="27"/>
  <c r="AC30" i="27"/>
  <c r="AC35" i="27"/>
  <c r="AB30" i="27"/>
  <c r="AB35" i="27"/>
  <c r="AA30" i="27"/>
  <c r="AA35" i="27"/>
  <c r="Z30" i="27"/>
  <c r="Z35" i="27"/>
  <c r="AR14" i="27"/>
  <c r="AR34" i="27"/>
  <c r="AS14" i="27"/>
  <c r="AS34" i="27"/>
  <c r="AV34" i="27"/>
  <c r="AU34" i="27"/>
  <c r="AT34" i="27"/>
  <c r="AP14" i="27"/>
  <c r="AO14" i="27"/>
  <c r="AQ14" i="27"/>
  <c r="AQ34" i="27"/>
  <c r="AP34" i="27"/>
  <c r="AO34" i="27"/>
  <c r="AI14" i="27"/>
  <c r="AI34" i="27"/>
  <c r="AN34" i="27"/>
  <c r="AH14" i="27"/>
  <c r="AH34" i="27"/>
  <c r="AM34" i="27"/>
  <c r="AG14" i="27"/>
  <c r="AG34" i="27"/>
  <c r="AL34" i="27"/>
  <c r="AF14" i="27"/>
  <c r="AF34" i="27"/>
  <c r="AK34" i="27"/>
  <c r="AE14" i="27"/>
  <c r="AE34" i="27"/>
  <c r="AJ34" i="27"/>
  <c r="AD14" i="27"/>
  <c r="AD34" i="27"/>
  <c r="AC14" i="27"/>
  <c r="AC34" i="27"/>
  <c r="AB14" i="27"/>
  <c r="AB34" i="27"/>
  <c r="AA14" i="27"/>
  <c r="AA34" i="27"/>
  <c r="Z14" i="27"/>
  <c r="Z34" i="27"/>
  <c r="AR13" i="27"/>
  <c r="AR33" i="27"/>
  <c r="AS13" i="27"/>
  <c r="AS33" i="27"/>
  <c r="AV33" i="27"/>
  <c r="AU33" i="27"/>
  <c r="AT33" i="27"/>
  <c r="AP13" i="27"/>
  <c r="AO13" i="27"/>
  <c r="AQ13" i="27"/>
  <c r="AQ33" i="27"/>
  <c r="AP33" i="27"/>
  <c r="AO33" i="27"/>
  <c r="AI13" i="27"/>
  <c r="AI33" i="27"/>
  <c r="AN33" i="27"/>
  <c r="AH13" i="27"/>
  <c r="AH33" i="27"/>
  <c r="AM33" i="27"/>
  <c r="AG13" i="27"/>
  <c r="AG33" i="27"/>
  <c r="AL33" i="27"/>
  <c r="AF13" i="27"/>
  <c r="AF33" i="27"/>
  <c r="AK33" i="27"/>
  <c r="AE13" i="27"/>
  <c r="AE33" i="27"/>
  <c r="AJ33" i="27"/>
  <c r="AD13" i="27"/>
  <c r="AD33" i="27"/>
  <c r="AC13" i="27"/>
  <c r="AC33" i="27"/>
  <c r="AB13" i="27"/>
  <c r="AB33" i="27"/>
  <c r="AA13" i="27"/>
  <c r="AA33" i="27"/>
  <c r="Z13" i="27"/>
  <c r="Z33" i="27"/>
  <c r="AR3" i="27"/>
  <c r="AR32" i="27"/>
  <c r="AS3" i="27"/>
  <c r="AS32" i="27"/>
  <c r="AV32" i="27"/>
  <c r="AU32" i="27"/>
  <c r="AT32" i="27"/>
  <c r="AP3" i="27"/>
  <c r="AO3" i="27"/>
  <c r="AQ3" i="27"/>
  <c r="AQ32" i="27"/>
  <c r="AP32" i="27"/>
  <c r="AO32" i="27"/>
  <c r="AI3" i="27"/>
  <c r="AI32" i="27"/>
  <c r="AN32" i="27"/>
  <c r="AH3" i="27"/>
  <c r="AH32" i="27"/>
  <c r="AM32" i="27"/>
  <c r="AG3" i="27"/>
  <c r="AG32" i="27"/>
  <c r="AL32" i="27"/>
  <c r="AF3" i="27"/>
  <c r="AF32" i="27"/>
  <c r="AK32" i="27"/>
  <c r="AE3" i="27"/>
  <c r="AE32" i="27"/>
  <c r="AJ32" i="27"/>
  <c r="AD3" i="27"/>
  <c r="AD32" i="27"/>
  <c r="AC3" i="27"/>
  <c r="AC32" i="27"/>
  <c r="AB3" i="27"/>
  <c r="AB32" i="27"/>
  <c r="AA3" i="27"/>
  <c r="AA32" i="27"/>
  <c r="Z3" i="27"/>
  <c r="Z32" i="27"/>
  <c r="AV31" i="27"/>
  <c r="AU31" i="27"/>
  <c r="AT31" i="27"/>
  <c r="AQ31" i="27"/>
  <c r="AP31" i="27"/>
  <c r="AO31" i="27"/>
  <c r="AN31" i="27"/>
  <c r="AM31" i="27"/>
  <c r="AL31" i="27"/>
  <c r="AK31" i="27"/>
  <c r="AJ31" i="27"/>
  <c r="AD31" i="27"/>
  <c r="AC31" i="27"/>
  <c r="AB31" i="27"/>
  <c r="AA31" i="27"/>
  <c r="Z31" i="27"/>
  <c r="O27" i="27"/>
  <c r="O76" i="27"/>
  <c r="P27" i="27"/>
  <c r="P76" i="27"/>
  <c r="Q27" i="27"/>
  <c r="Q76" i="27"/>
  <c r="R76" i="27"/>
  <c r="O18" i="27"/>
  <c r="O75" i="27"/>
  <c r="P18" i="27"/>
  <c r="P75" i="27"/>
  <c r="Q18" i="27"/>
  <c r="Q75" i="27"/>
  <c r="R75" i="27"/>
  <c r="O12" i="27"/>
  <c r="O74" i="27"/>
  <c r="P12" i="27"/>
  <c r="P74" i="27"/>
  <c r="Q12" i="27"/>
  <c r="Q74" i="27"/>
  <c r="R74" i="27"/>
  <c r="O7" i="27"/>
  <c r="O73" i="27"/>
  <c r="P7" i="27"/>
  <c r="P73" i="27"/>
  <c r="Q7" i="27"/>
  <c r="Q73" i="27"/>
  <c r="R73" i="27"/>
  <c r="O16" i="27"/>
  <c r="O72" i="27"/>
  <c r="P16" i="27"/>
  <c r="P72" i="27"/>
  <c r="Q16" i="27"/>
  <c r="Q72" i="27"/>
  <c r="R72" i="27"/>
  <c r="O29" i="27"/>
  <c r="O71" i="27"/>
  <c r="P29" i="27"/>
  <c r="P71" i="27"/>
  <c r="Q29" i="27"/>
  <c r="Q71" i="27"/>
  <c r="R71" i="27"/>
  <c r="O20" i="27"/>
  <c r="O70" i="27"/>
  <c r="P20" i="27"/>
  <c r="P70" i="27"/>
  <c r="Q20" i="27"/>
  <c r="Q70" i="27"/>
  <c r="R70" i="27"/>
  <c r="O24" i="27"/>
  <c r="O69" i="27"/>
  <c r="P24" i="27"/>
  <c r="P69" i="27"/>
  <c r="Q24" i="27"/>
  <c r="Q69" i="27"/>
  <c r="R69" i="27"/>
  <c r="O9" i="27"/>
  <c r="O68" i="27"/>
  <c r="P9" i="27"/>
  <c r="P68" i="27"/>
  <c r="Q9" i="27"/>
  <c r="Q68" i="27"/>
  <c r="R68" i="27"/>
  <c r="O5" i="27"/>
  <c r="O67" i="27"/>
  <c r="P5" i="27"/>
  <c r="P67" i="27"/>
  <c r="Q5" i="27"/>
  <c r="Q67" i="27"/>
  <c r="R67" i="27"/>
  <c r="O17" i="27"/>
  <c r="O66" i="27"/>
  <c r="P17" i="27"/>
  <c r="P66" i="27"/>
  <c r="Q17" i="27"/>
  <c r="Q66" i="27"/>
  <c r="R66" i="27"/>
  <c r="O21" i="27"/>
  <c r="O65" i="27"/>
  <c r="P21" i="27"/>
  <c r="P65" i="27"/>
  <c r="Q21" i="27"/>
  <c r="Q65" i="27"/>
  <c r="R65" i="27"/>
  <c r="O25" i="27"/>
  <c r="O64" i="27"/>
  <c r="P25" i="27"/>
  <c r="P64" i="27"/>
  <c r="Q25" i="27"/>
  <c r="Q64" i="27"/>
  <c r="R64" i="27"/>
  <c r="R63" i="27"/>
  <c r="Q63" i="27"/>
  <c r="P63" i="27"/>
  <c r="O63" i="27"/>
  <c r="O62" i="27"/>
  <c r="P62" i="27"/>
  <c r="Q62" i="27"/>
  <c r="R62" i="27"/>
  <c r="O61" i="27"/>
  <c r="P61" i="27"/>
  <c r="Q61" i="27"/>
  <c r="R61" i="27"/>
  <c r="O60" i="27"/>
  <c r="P60" i="27"/>
  <c r="Q60" i="27"/>
  <c r="R60" i="27"/>
  <c r="O59" i="27"/>
  <c r="P59" i="27"/>
  <c r="Q59" i="27"/>
  <c r="R59" i="27"/>
  <c r="O58" i="27"/>
  <c r="P58" i="27"/>
  <c r="Q58" i="27"/>
  <c r="R58" i="27"/>
  <c r="O57" i="27"/>
  <c r="P57" i="27"/>
  <c r="Q57" i="27"/>
  <c r="R57" i="27"/>
  <c r="O56" i="27"/>
  <c r="P56" i="27"/>
  <c r="Q56" i="27"/>
  <c r="R56" i="27"/>
  <c r="O55" i="27"/>
  <c r="P55" i="27"/>
  <c r="Q55" i="27"/>
  <c r="R55" i="27"/>
  <c r="O54" i="27"/>
  <c r="P54" i="27"/>
  <c r="Q54" i="27"/>
  <c r="R54" i="27"/>
  <c r="O53" i="27"/>
  <c r="P53" i="27"/>
  <c r="Q53" i="27"/>
  <c r="R53" i="27"/>
  <c r="O52" i="27"/>
  <c r="P52" i="27"/>
  <c r="Q52" i="27"/>
  <c r="R52" i="27"/>
  <c r="O51" i="27"/>
  <c r="P51" i="27"/>
  <c r="Q51" i="27"/>
  <c r="R51" i="27"/>
  <c r="O50" i="27"/>
  <c r="P50" i="27"/>
  <c r="Q50" i="27"/>
  <c r="R50" i="27"/>
  <c r="O23" i="27"/>
  <c r="O49" i="27"/>
  <c r="P23" i="27"/>
  <c r="P49" i="27"/>
  <c r="Q23" i="27"/>
  <c r="Q49" i="27"/>
  <c r="R49" i="27"/>
  <c r="R48" i="27"/>
  <c r="Q48" i="27"/>
  <c r="P48" i="27"/>
  <c r="O48" i="27"/>
  <c r="O6" i="27"/>
  <c r="O47" i="27"/>
  <c r="P6" i="27"/>
  <c r="P47" i="27"/>
  <c r="Q6" i="27"/>
  <c r="Q47" i="27"/>
  <c r="R47" i="27"/>
  <c r="O10" i="27"/>
  <c r="O46" i="27"/>
  <c r="P10" i="27"/>
  <c r="P46" i="27"/>
  <c r="Q10" i="27"/>
  <c r="Q46" i="27"/>
  <c r="R46" i="27"/>
  <c r="R45" i="27"/>
  <c r="Q45" i="27"/>
  <c r="P45" i="27"/>
  <c r="O45" i="27"/>
  <c r="O15" i="27"/>
  <c r="O44" i="27"/>
  <c r="P15" i="27"/>
  <c r="P44" i="27"/>
  <c r="Q15" i="27"/>
  <c r="Q44" i="27"/>
  <c r="R44" i="27"/>
  <c r="O28" i="27"/>
  <c r="O43" i="27"/>
  <c r="P28" i="27"/>
  <c r="P43" i="27"/>
  <c r="Q28" i="27"/>
  <c r="Q43" i="27"/>
  <c r="R43" i="27"/>
  <c r="O19" i="27"/>
  <c r="O42" i="27"/>
  <c r="P19" i="27"/>
  <c r="P42" i="27"/>
  <c r="Q19" i="27"/>
  <c r="Q42" i="27"/>
  <c r="R42" i="27"/>
  <c r="O8" i="27"/>
  <c r="O41" i="27"/>
  <c r="P8" i="27"/>
  <c r="P41" i="27"/>
  <c r="Q8" i="27"/>
  <c r="Q41" i="27"/>
  <c r="R41" i="27"/>
  <c r="O4" i="27"/>
  <c r="O40" i="27"/>
  <c r="P4" i="27"/>
  <c r="P40" i="27"/>
  <c r="Q4" i="27"/>
  <c r="Q40" i="27"/>
  <c r="R40" i="27"/>
  <c r="O11" i="27"/>
  <c r="O39" i="27"/>
  <c r="P11" i="27"/>
  <c r="P39" i="27"/>
  <c r="Q11" i="27"/>
  <c r="Q39" i="27"/>
  <c r="R39" i="27"/>
  <c r="O2" i="27"/>
  <c r="O38" i="27"/>
  <c r="P2" i="27"/>
  <c r="P38" i="27"/>
  <c r="Q2" i="27"/>
  <c r="Q38" i="27"/>
  <c r="R38" i="27"/>
  <c r="O22" i="27"/>
  <c r="O37" i="27"/>
  <c r="P22" i="27"/>
  <c r="P37" i="27"/>
  <c r="Q22" i="27"/>
  <c r="Q37" i="27"/>
  <c r="R37" i="27"/>
  <c r="O26" i="27"/>
  <c r="O36" i="27"/>
  <c r="P26" i="27"/>
  <c r="P36" i="27"/>
  <c r="Q26" i="27"/>
  <c r="Q36" i="27"/>
  <c r="R36" i="27"/>
  <c r="O30" i="27"/>
  <c r="O35" i="27"/>
  <c r="P30" i="27"/>
  <c r="P35" i="27"/>
  <c r="Q30" i="27"/>
  <c r="Q35" i="27"/>
  <c r="R35" i="27"/>
  <c r="O14" i="27"/>
  <c r="O34" i="27"/>
  <c r="P14" i="27"/>
  <c r="P34" i="27"/>
  <c r="Q14" i="27"/>
  <c r="Q34" i="27"/>
  <c r="R34" i="27"/>
  <c r="O13" i="27"/>
  <c r="O33" i="27"/>
  <c r="P13" i="27"/>
  <c r="P33" i="27"/>
  <c r="Q13" i="27"/>
  <c r="Q33" i="27"/>
  <c r="R33" i="27"/>
  <c r="O3" i="27"/>
  <c r="O32" i="27"/>
  <c r="P3" i="27"/>
  <c r="P32" i="27"/>
  <c r="Q3" i="27"/>
  <c r="Q32" i="27"/>
  <c r="R32" i="27"/>
  <c r="R31" i="27"/>
  <c r="Q31" i="27"/>
  <c r="P31" i="27"/>
  <c r="O31" i="27"/>
  <c r="D27" i="27"/>
  <c r="D76" i="27"/>
  <c r="E27" i="27"/>
  <c r="E76" i="27"/>
  <c r="F27" i="27"/>
  <c r="F76" i="27"/>
  <c r="G76" i="27"/>
  <c r="D18" i="27"/>
  <c r="D75" i="27"/>
  <c r="E18" i="27"/>
  <c r="E75" i="27"/>
  <c r="F18" i="27"/>
  <c r="F75" i="27"/>
  <c r="G75" i="27"/>
  <c r="D12" i="27"/>
  <c r="D74" i="27"/>
  <c r="E12" i="27"/>
  <c r="E74" i="27"/>
  <c r="F12" i="27"/>
  <c r="F74" i="27"/>
  <c r="G74" i="27"/>
  <c r="D7" i="27"/>
  <c r="D73" i="27"/>
  <c r="E7" i="27"/>
  <c r="E73" i="27"/>
  <c r="F7" i="27"/>
  <c r="F73" i="27"/>
  <c r="G73" i="27"/>
  <c r="D16" i="27"/>
  <c r="D72" i="27"/>
  <c r="E16" i="27"/>
  <c r="E72" i="27"/>
  <c r="F16" i="27"/>
  <c r="F72" i="27"/>
  <c r="G72" i="27"/>
  <c r="D29" i="27"/>
  <c r="D71" i="27"/>
  <c r="E29" i="27"/>
  <c r="E71" i="27"/>
  <c r="F29" i="27"/>
  <c r="F71" i="27"/>
  <c r="G71" i="27"/>
  <c r="D20" i="27"/>
  <c r="D70" i="27"/>
  <c r="E20" i="27"/>
  <c r="E70" i="27"/>
  <c r="F20" i="27"/>
  <c r="F70" i="27"/>
  <c r="G70" i="27"/>
  <c r="D24" i="27"/>
  <c r="D69" i="27"/>
  <c r="E24" i="27"/>
  <c r="E69" i="27"/>
  <c r="F24" i="27"/>
  <c r="F69" i="27"/>
  <c r="G69" i="27"/>
  <c r="D9" i="27"/>
  <c r="D68" i="27"/>
  <c r="E9" i="27"/>
  <c r="E68" i="27"/>
  <c r="F9" i="27"/>
  <c r="F68" i="27"/>
  <c r="G68" i="27"/>
  <c r="D5" i="27"/>
  <c r="D67" i="27"/>
  <c r="E5" i="27"/>
  <c r="E67" i="27"/>
  <c r="F5" i="27"/>
  <c r="F67" i="27"/>
  <c r="G67" i="27"/>
  <c r="D17" i="27"/>
  <c r="D66" i="27"/>
  <c r="E17" i="27"/>
  <c r="E66" i="27"/>
  <c r="F17" i="27"/>
  <c r="F66" i="27"/>
  <c r="G66" i="27"/>
  <c r="D21" i="27"/>
  <c r="D65" i="27"/>
  <c r="E21" i="27"/>
  <c r="E65" i="27"/>
  <c r="F21" i="27"/>
  <c r="F65" i="27"/>
  <c r="G65" i="27"/>
  <c r="D25" i="27"/>
  <c r="D64" i="27"/>
  <c r="E25" i="27"/>
  <c r="E64" i="27"/>
  <c r="F25" i="27"/>
  <c r="F64" i="27"/>
  <c r="G64" i="27"/>
  <c r="G63" i="27"/>
  <c r="F63" i="27"/>
  <c r="E63" i="27"/>
  <c r="D63" i="27"/>
  <c r="D62" i="27"/>
  <c r="E62" i="27"/>
  <c r="F62" i="27"/>
  <c r="G62" i="27"/>
  <c r="D61" i="27"/>
  <c r="E61" i="27"/>
  <c r="F61" i="27"/>
  <c r="G61" i="27"/>
  <c r="D60" i="27"/>
  <c r="E60" i="27"/>
  <c r="F60" i="27"/>
  <c r="G60" i="27"/>
  <c r="D59" i="27"/>
  <c r="E59" i="27"/>
  <c r="F59" i="27"/>
  <c r="G59" i="27"/>
  <c r="D58" i="27"/>
  <c r="E58" i="27"/>
  <c r="F58" i="27"/>
  <c r="G58" i="27"/>
  <c r="D57" i="27"/>
  <c r="E57" i="27"/>
  <c r="F57" i="27"/>
  <c r="G57" i="27"/>
  <c r="D56" i="27"/>
  <c r="E56" i="27"/>
  <c r="F56" i="27"/>
  <c r="G56" i="27"/>
  <c r="D55" i="27"/>
  <c r="E55" i="27"/>
  <c r="F55" i="27"/>
  <c r="G55" i="27"/>
  <c r="D54" i="27"/>
  <c r="E54" i="27"/>
  <c r="F54" i="27"/>
  <c r="G54" i="27"/>
  <c r="D53" i="27"/>
  <c r="E53" i="27"/>
  <c r="F53" i="27"/>
  <c r="G53" i="27"/>
  <c r="D52" i="27"/>
  <c r="E52" i="27"/>
  <c r="F52" i="27"/>
  <c r="G52" i="27"/>
  <c r="D51" i="27"/>
  <c r="E51" i="27"/>
  <c r="F51" i="27"/>
  <c r="G51" i="27"/>
  <c r="D50" i="27"/>
  <c r="E50" i="27"/>
  <c r="F50" i="27"/>
  <c r="G50" i="27"/>
  <c r="D23" i="27"/>
  <c r="D49" i="27"/>
  <c r="E23" i="27"/>
  <c r="E49" i="27"/>
  <c r="F23" i="27"/>
  <c r="F49" i="27"/>
  <c r="G49" i="27"/>
  <c r="G48" i="27"/>
  <c r="F48" i="27"/>
  <c r="E48" i="27"/>
  <c r="D48" i="27"/>
  <c r="D6" i="27"/>
  <c r="D47" i="27"/>
  <c r="E6" i="27"/>
  <c r="E47" i="27"/>
  <c r="F6" i="27"/>
  <c r="F47" i="27"/>
  <c r="G47" i="27"/>
  <c r="D10" i="27"/>
  <c r="D46" i="27"/>
  <c r="E10" i="27"/>
  <c r="E46" i="27"/>
  <c r="F10" i="27"/>
  <c r="F46" i="27"/>
  <c r="G46" i="27"/>
  <c r="G45" i="27"/>
  <c r="F45" i="27"/>
  <c r="E45" i="27"/>
  <c r="D45" i="27"/>
  <c r="D15" i="27"/>
  <c r="D44" i="27"/>
  <c r="E15" i="27"/>
  <c r="E44" i="27"/>
  <c r="F15" i="27"/>
  <c r="F44" i="27"/>
  <c r="G44" i="27"/>
  <c r="D28" i="27"/>
  <c r="D43" i="27"/>
  <c r="E28" i="27"/>
  <c r="E43" i="27"/>
  <c r="F28" i="27"/>
  <c r="F43" i="27"/>
  <c r="G43" i="27"/>
  <c r="D19" i="27"/>
  <c r="D42" i="27"/>
  <c r="E19" i="27"/>
  <c r="E42" i="27"/>
  <c r="F19" i="27"/>
  <c r="F42" i="27"/>
  <c r="G42" i="27"/>
  <c r="D8" i="27"/>
  <c r="D41" i="27"/>
  <c r="E8" i="27"/>
  <c r="E41" i="27"/>
  <c r="F8" i="27"/>
  <c r="F41" i="27"/>
  <c r="G41" i="27"/>
  <c r="D4" i="27"/>
  <c r="D40" i="27"/>
  <c r="E4" i="27"/>
  <c r="E40" i="27"/>
  <c r="F4" i="27"/>
  <c r="F40" i="27"/>
  <c r="G40" i="27"/>
  <c r="D11" i="27"/>
  <c r="D39" i="27"/>
  <c r="E11" i="27"/>
  <c r="E39" i="27"/>
  <c r="F11" i="27"/>
  <c r="F39" i="27"/>
  <c r="G39" i="27"/>
  <c r="D2" i="27"/>
  <c r="D38" i="27"/>
  <c r="E2" i="27"/>
  <c r="E38" i="27"/>
  <c r="F2" i="27"/>
  <c r="F38" i="27"/>
  <c r="G38" i="27"/>
  <c r="D22" i="27"/>
  <c r="D37" i="27"/>
  <c r="E22" i="27"/>
  <c r="E37" i="27"/>
  <c r="F22" i="27"/>
  <c r="F37" i="27"/>
  <c r="G37" i="27"/>
  <c r="D26" i="27"/>
  <c r="D36" i="27"/>
  <c r="E26" i="27"/>
  <c r="E36" i="27"/>
  <c r="F26" i="27"/>
  <c r="F36" i="27"/>
  <c r="G36" i="27"/>
  <c r="D30" i="27"/>
  <c r="D35" i="27"/>
  <c r="E30" i="27"/>
  <c r="E35" i="27"/>
  <c r="F30" i="27"/>
  <c r="F35" i="27"/>
  <c r="G35" i="27"/>
  <c r="D14" i="27"/>
  <c r="D34" i="27"/>
  <c r="E14" i="27"/>
  <c r="E34" i="27"/>
  <c r="F14" i="27"/>
  <c r="F34" i="27"/>
  <c r="G34" i="27"/>
  <c r="D13" i="27"/>
  <c r="D33" i="27"/>
  <c r="E13" i="27"/>
  <c r="E33" i="27"/>
  <c r="F13" i="27"/>
  <c r="F33" i="27"/>
  <c r="G33" i="27"/>
  <c r="D3" i="27"/>
  <c r="D32" i="27"/>
  <c r="E3" i="27"/>
  <c r="E32" i="27"/>
  <c r="F3" i="27"/>
  <c r="F32" i="27"/>
  <c r="G32" i="27"/>
  <c r="G31" i="27"/>
  <c r="F31" i="27"/>
  <c r="E31" i="27"/>
  <c r="D31" i="27"/>
  <c r="H6" i="24"/>
  <c r="H47" i="24"/>
  <c r="D3" i="26"/>
  <c r="D32" i="26"/>
  <c r="D13" i="26"/>
  <c r="D33" i="26"/>
  <c r="D14" i="26"/>
  <c r="D34" i="26"/>
  <c r="D30" i="26"/>
  <c r="D35" i="26"/>
  <c r="D26" i="26"/>
  <c r="D36" i="26"/>
  <c r="D22" i="26"/>
  <c r="D37" i="26"/>
  <c r="D2" i="26"/>
  <c r="D38" i="26"/>
  <c r="D11" i="26"/>
  <c r="D39" i="26"/>
  <c r="D4" i="26"/>
  <c r="D40" i="26"/>
  <c r="D8" i="26"/>
  <c r="D41" i="26"/>
  <c r="D19" i="26"/>
  <c r="D42" i="26"/>
  <c r="D28" i="26"/>
  <c r="D43" i="26"/>
  <c r="D15" i="26"/>
  <c r="D44" i="26"/>
  <c r="D31" i="26"/>
  <c r="AG27" i="26"/>
  <c r="AG76" i="26"/>
  <c r="AH27" i="26"/>
  <c r="AH76" i="26"/>
  <c r="AK76" i="26"/>
  <c r="AJ76" i="26"/>
  <c r="AI76" i="26"/>
  <c r="AE27" i="26"/>
  <c r="AD27" i="26"/>
  <c r="AF27" i="26"/>
  <c r="AF76" i="26"/>
  <c r="AE76" i="26"/>
  <c r="AD76" i="26"/>
  <c r="X27" i="26"/>
  <c r="X76" i="26"/>
  <c r="AC76" i="26"/>
  <c r="W27" i="26"/>
  <c r="W76" i="26"/>
  <c r="AB76" i="26"/>
  <c r="V27" i="26"/>
  <c r="V76" i="26"/>
  <c r="AA76" i="26"/>
  <c r="U27" i="26"/>
  <c r="U76" i="26"/>
  <c r="Z76" i="26"/>
  <c r="T27" i="26"/>
  <c r="T76" i="26"/>
  <c r="Y76" i="26"/>
  <c r="S27" i="26"/>
  <c r="S76" i="26"/>
  <c r="R27" i="26"/>
  <c r="R76" i="26"/>
  <c r="Q27" i="26"/>
  <c r="Q76" i="26"/>
  <c r="P27" i="26"/>
  <c r="P76" i="26"/>
  <c r="O27" i="26"/>
  <c r="O76" i="26"/>
  <c r="H27" i="26"/>
  <c r="H76" i="26"/>
  <c r="I27" i="26"/>
  <c r="I76" i="26"/>
  <c r="J27" i="26"/>
  <c r="J76" i="26"/>
  <c r="N76" i="26"/>
  <c r="M76" i="26"/>
  <c r="L76" i="26"/>
  <c r="K76" i="26"/>
  <c r="D27" i="26"/>
  <c r="D76" i="26"/>
  <c r="E27" i="26"/>
  <c r="E76" i="26"/>
  <c r="F27" i="26"/>
  <c r="F76" i="26"/>
  <c r="G76" i="26"/>
  <c r="AG18" i="26"/>
  <c r="AG75" i="26"/>
  <c r="AH18" i="26"/>
  <c r="AH75" i="26"/>
  <c r="AK75" i="26"/>
  <c r="AJ75" i="26"/>
  <c r="AI75" i="26"/>
  <c r="AE18" i="26"/>
  <c r="AD18" i="26"/>
  <c r="AF18" i="26"/>
  <c r="AF75" i="26"/>
  <c r="AE75" i="26"/>
  <c r="AD75" i="26"/>
  <c r="X18" i="26"/>
  <c r="X75" i="26"/>
  <c r="AC75" i="26"/>
  <c r="W18" i="26"/>
  <c r="W75" i="26"/>
  <c r="AB75" i="26"/>
  <c r="V18" i="26"/>
  <c r="V75" i="26"/>
  <c r="AA75" i="26"/>
  <c r="U18" i="26"/>
  <c r="U75" i="26"/>
  <c r="Z75" i="26"/>
  <c r="T18" i="26"/>
  <c r="T75" i="26"/>
  <c r="Y75" i="26"/>
  <c r="S18" i="26"/>
  <c r="S75" i="26"/>
  <c r="R18" i="26"/>
  <c r="R75" i="26"/>
  <c r="Q18" i="26"/>
  <c r="Q75" i="26"/>
  <c r="P18" i="26"/>
  <c r="P75" i="26"/>
  <c r="O18" i="26"/>
  <c r="O75" i="26"/>
  <c r="H18" i="26"/>
  <c r="H75" i="26"/>
  <c r="I18" i="26"/>
  <c r="I75" i="26"/>
  <c r="J18" i="26"/>
  <c r="J75" i="26"/>
  <c r="N75" i="26"/>
  <c r="M75" i="26"/>
  <c r="L75" i="26"/>
  <c r="K75" i="26"/>
  <c r="D18" i="26"/>
  <c r="D75" i="26"/>
  <c r="E18" i="26"/>
  <c r="E75" i="26"/>
  <c r="F18" i="26"/>
  <c r="F75" i="26"/>
  <c r="G75" i="26"/>
  <c r="AG12" i="26"/>
  <c r="AG74" i="26"/>
  <c r="AH12" i="26"/>
  <c r="AH74" i="26"/>
  <c r="AK74" i="26"/>
  <c r="AJ74" i="26"/>
  <c r="AI74" i="26"/>
  <c r="AE12" i="26"/>
  <c r="AD12" i="26"/>
  <c r="AF12" i="26"/>
  <c r="AF74" i="26"/>
  <c r="AE74" i="26"/>
  <c r="AD74" i="26"/>
  <c r="X12" i="26"/>
  <c r="X74" i="26"/>
  <c r="AC74" i="26"/>
  <c r="W12" i="26"/>
  <c r="W74" i="26"/>
  <c r="AB74" i="26"/>
  <c r="V12" i="26"/>
  <c r="V74" i="26"/>
  <c r="AA74" i="26"/>
  <c r="U12" i="26"/>
  <c r="U74" i="26"/>
  <c r="Z74" i="26"/>
  <c r="T12" i="26"/>
  <c r="T74" i="26"/>
  <c r="Y74" i="26"/>
  <c r="S12" i="26"/>
  <c r="S74" i="26"/>
  <c r="R12" i="26"/>
  <c r="R74" i="26"/>
  <c r="Q12" i="26"/>
  <c r="Q74" i="26"/>
  <c r="P12" i="26"/>
  <c r="P74" i="26"/>
  <c r="O12" i="26"/>
  <c r="O74" i="26"/>
  <c r="H12" i="26"/>
  <c r="H74" i="26"/>
  <c r="I12" i="26"/>
  <c r="I74" i="26"/>
  <c r="J12" i="26"/>
  <c r="J74" i="26"/>
  <c r="N74" i="26"/>
  <c r="M74" i="26"/>
  <c r="L74" i="26"/>
  <c r="K74" i="26"/>
  <c r="D12" i="26"/>
  <c r="D74" i="26"/>
  <c r="E12" i="26"/>
  <c r="E74" i="26"/>
  <c r="F12" i="26"/>
  <c r="F74" i="26"/>
  <c r="G74" i="26"/>
  <c r="AG7" i="26"/>
  <c r="AG73" i="26"/>
  <c r="AH7" i="26"/>
  <c r="AH73" i="26"/>
  <c r="AK73" i="26"/>
  <c r="AJ73" i="26"/>
  <c r="AI73" i="26"/>
  <c r="AE7" i="26"/>
  <c r="AD7" i="26"/>
  <c r="AF7" i="26"/>
  <c r="AF73" i="26"/>
  <c r="AE73" i="26"/>
  <c r="AD73" i="26"/>
  <c r="X7" i="26"/>
  <c r="X73" i="26"/>
  <c r="AC73" i="26"/>
  <c r="W7" i="26"/>
  <c r="W73" i="26"/>
  <c r="AB73" i="26"/>
  <c r="V7" i="26"/>
  <c r="V73" i="26"/>
  <c r="AA73" i="26"/>
  <c r="U7" i="26"/>
  <c r="U73" i="26"/>
  <c r="Z73" i="26"/>
  <c r="T7" i="26"/>
  <c r="T73" i="26"/>
  <c r="Y73" i="26"/>
  <c r="S7" i="26"/>
  <c r="S73" i="26"/>
  <c r="R7" i="26"/>
  <c r="R73" i="26"/>
  <c r="Q7" i="26"/>
  <c r="Q73" i="26"/>
  <c r="P7" i="26"/>
  <c r="P73" i="26"/>
  <c r="O7" i="26"/>
  <c r="O73" i="26"/>
  <c r="H7" i="26"/>
  <c r="H73" i="26"/>
  <c r="I7" i="26"/>
  <c r="I73" i="26"/>
  <c r="J7" i="26"/>
  <c r="J73" i="26"/>
  <c r="N73" i="26"/>
  <c r="M73" i="26"/>
  <c r="L73" i="26"/>
  <c r="K73" i="26"/>
  <c r="D7" i="26"/>
  <c r="D73" i="26"/>
  <c r="E7" i="26"/>
  <c r="E73" i="26"/>
  <c r="F7" i="26"/>
  <c r="F73" i="26"/>
  <c r="G73" i="26"/>
  <c r="AG16" i="26"/>
  <c r="AG72" i="26"/>
  <c r="AH16" i="26"/>
  <c r="AH72" i="26"/>
  <c r="AK72" i="26"/>
  <c r="AJ72" i="26"/>
  <c r="AI72" i="26"/>
  <c r="AE16" i="26"/>
  <c r="AD16" i="26"/>
  <c r="AF16" i="26"/>
  <c r="AF72" i="26"/>
  <c r="AE72" i="26"/>
  <c r="AD72" i="26"/>
  <c r="X16" i="26"/>
  <c r="X72" i="26"/>
  <c r="AC72" i="26"/>
  <c r="W16" i="26"/>
  <c r="W72" i="26"/>
  <c r="AB72" i="26"/>
  <c r="V16" i="26"/>
  <c r="V72" i="26"/>
  <c r="AA72" i="26"/>
  <c r="U16" i="26"/>
  <c r="U72" i="26"/>
  <c r="Z72" i="26"/>
  <c r="T16" i="26"/>
  <c r="T72" i="26"/>
  <c r="Y72" i="26"/>
  <c r="S16" i="26"/>
  <c r="S72" i="26"/>
  <c r="R16" i="26"/>
  <c r="R72" i="26"/>
  <c r="Q16" i="26"/>
  <c r="Q72" i="26"/>
  <c r="P16" i="26"/>
  <c r="P72" i="26"/>
  <c r="O16" i="26"/>
  <c r="O72" i="26"/>
  <c r="H16" i="26"/>
  <c r="H72" i="26"/>
  <c r="I16" i="26"/>
  <c r="I72" i="26"/>
  <c r="J16" i="26"/>
  <c r="J72" i="26"/>
  <c r="N72" i="26"/>
  <c r="M72" i="26"/>
  <c r="L72" i="26"/>
  <c r="K72" i="26"/>
  <c r="D16" i="26"/>
  <c r="D72" i="26"/>
  <c r="E16" i="26"/>
  <c r="E72" i="26"/>
  <c r="F16" i="26"/>
  <c r="F72" i="26"/>
  <c r="G72" i="26"/>
  <c r="AG29" i="26"/>
  <c r="AG71" i="26"/>
  <c r="AH29" i="26"/>
  <c r="AH71" i="26"/>
  <c r="AK71" i="26"/>
  <c r="AJ71" i="26"/>
  <c r="AI71" i="26"/>
  <c r="AE29" i="26"/>
  <c r="AD29" i="26"/>
  <c r="AF29" i="26"/>
  <c r="AF71" i="26"/>
  <c r="AE71" i="26"/>
  <c r="AD71" i="26"/>
  <c r="X29" i="26"/>
  <c r="X71" i="26"/>
  <c r="AC71" i="26"/>
  <c r="W29" i="26"/>
  <c r="W71" i="26"/>
  <c r="AB71" i="26"/>
  <c r="V29" i="26"/>
  <c r="V71" i="26"/>
  <c r="AA71" i="26"/>
  <c r="U29" i="26"/>
  <c r="U71" i="26"/>
  <c r="Z71" i="26"/>
  <c r="T29" i="26"/>
  <c r="T71" i="26"/>
  <c r="Y71" i="26"/>
  <c r="S29" i="26"/>
  <c r="S71" i="26"/>
  <c r="R29" i="26"/>
  <c r="R71" i="26"/>
  <c r="Q29" i="26"/>
  <c r="Q71" i="26"/>
  <c r="P29" i="26"/>
  <c r="P71" i="26"/>
  <c r="O29" i="26"/>
  <c r="O71" i="26"/>
  <c r="H29" i="26"/>
  <c r="H71" i="26"/>
  <c r="I29" i="26"/>
  <c r="I71" i="26"/>
  <c r="J29" i="26"/>
  <c r="J71" i="26"/>
  <c r="N71" i="26"/>
  <c r="M71" i="26"/>
  <c r="L71" i="26"/>
  <c r="K71" i="26"/>
  <c r="D29" i="26"/>
  <c r="D71" i="26"/>
  <c r="E29" i="26"/>
  <c r="E71" i="26"/>
  <c r="F29" i="26"/>
  <c r="F71" i="26"/>
  <c r="G71" i="26"/>
  <c r="AG20" i="26"/>
  <c r="AG70" i="26"/>
  <c r="AH20" i="26"/>
  <c r="AH70" i="26"/>
  <c r="AK70" i="26"/>
  <c r="AJ70" i="26"/>
  <c r="AI70" i="26"/>
  <c r="AE20" i="26"/>
  <c r="AD20" i="26"/>
  <c r="AF20" i="26"/>
  <c r="AF70" i="26"/>
  <c r="AE70" i="26"/>
  <c r="AD70" i="26"/>
  <c r="X20" i="26"/>
  <c r="X70" i="26"/>
  <c r="AC70" i="26"/>
  <c r="W20" i="26"/>
  <c r="W70" i="26"/>
  <c r="AB70" i="26"/>
  <c r="V20" i="26"/>
  <c r="V70" i="26"/>
  <c r="AA70" i="26"/>
  <c r="U20" i="26"/>
  <c r="U70" i="26"/>
  <c r="Z70" i="26"/>
  <c r="T20" i="26"/>
  <c r="T70" i="26"/>
  <c r="Y70" i="26"/>
  <c r="S20" i="26"/>
  <c r="S70" i="26"/>
  <c r="R20" i="26"/>
  <c r="R70" i="26"/>
  <c r="Q20" i="26"/>
  <c r="Q70" i="26"/>
  <c r="P20" i="26"/>
  <c r="P70" i="26"/>
  <c r="O20" i="26"/>
  <c r="O70" i="26"/>
  <c r="H20" i="26"/>
  <c r="H70" i="26"/>
  <c r="I20" i="26"/>
  <c r="I70" i="26"/>
  <c r="J20" i="26"/>
  <c r="J70" i="26"/>
  <c r="N70" i="26"/>
  <c r="M70" i="26"/>
  <c r="L70" i="26"/>
  <c r="K70" i="26"/>
  <c r="D20" i="26"/>
  <c r="D70" i="26"/>
  <c r="E20" i="26"/>
  <c r="E70" i="26"/>
  <c r="F20" i="26"/>
  <c r="F70" i="26"/>
  <c r="G70" i="26"/>
  <c r="AG24" i="26"/>
  <c r="AG69" i="26"/>
  <c r="AH24" i="26"/>
  <c r="AH69" i="26"/>
  <c r="AK69" i="26"/>
  <c r="AJ69" i="26"/>
  <c r="AI69" i="26"/>
  <c r="AE24" i="26"/>
  <c r="AD24" i="26"/>
  <c r="AF24" i="26"/>
  <c r="AF69" i="26"/>
  <c r="AE69" i="26"/>
  <c r="AD69" i="26"/>
  <c r="X24" i="26"/>
  <c r="X69" i="26"/>
  <c r="AC69" i="26"/>
  <c r="W24" i="26"/>
  <c r="W69" i="26"/>
  <c r="AB69" i="26"/>
  <c r="V24" i="26"/>
  <c r="V69" i="26"/>
  <c r="AA69" i="26"/>
  <c r="U24" i="26"/>
  <c r="U69" i="26"/>
  <c r="Z69" i="26"/>
  <c r="T24" i="26"/>
  <c r="T69" i="26"/>
  <c r="Y69" i="26"/>
  <c r="S24" i="26"/>
  <c r="S69" i="26"/>
  <c r="R24" i="26"/>
  <c r="R69" i="26"/>
  <c r="Q24" i="26"/>
  <c r="Q69" i="26"/>
  <c r="P24" i="26"/>
  <c r="P69" i="26"/>
  <c r="O24" i="26"/>
  <c r="O69" i="26"/>
  <c r="H24" i="26"/>
  <c r="H69" i="26"/>
  <c r="I24" i="26"/>
  <c r="I69" i="26"/>
  <c r="J24" i="26"/>
  <c r="J69" i="26"/>
  <c r="N69" i="26"/>
  <c r="M69" i="26"/>
  <c r="L69" i="26"/>
  <c r="K69" i="26"/>
  <c r="D24" i="26"/>
  <c r="D69" i="26"/>
  <c r="E24" i="26"/>
  <c r="E69" i="26"/>
  <c r="F24" i="26"/>
  <c r="F69" i="26"/>
  <c r="G69" i="26"/>
  <c r="AG9" i="26"/>
  <c r="AG68" i="26"/>
  <c r="AH9" i="26"/>
  <c r="AH68" i="26"/>
  <c r="AK68" i="26"/>
  <c r="AJ68" i="26"/>
  <c r="AI68" i="26"/>
  <c r="AE9" i="26"/>
  <c r="AD9" i="26"/>
  <c r="AF9" i="26"/>
  <c r="AF68" i="26"/>
  <c r="AE68" i="26"/>
  <c r="AD68" i="26"/>
  <c r="X9" i="26"/>
  <c r="X68" i="26"/>
  <c r="AC68" i="26"/>
  <c r="W9" i="26"/>
  <c r="W68" i="26"/>
  <c r="AB68" i="26"/>
  <c r="V9" i="26"/>
  <c r="V68" i="26"/>
  <c r="AA68" i="26"/>
  <c r="U9" i="26"/>
  <c r="U68" i="26"/>
  <c r="Z68" i="26"/>
  <c r="T9" i="26"/>
  <c r="T68" i="26"/>
  <c r="Y68" i="26"/>
  <c r="S9" i="26"/>
  <c r="S68" i="26"/>
  <c r="R9" i="26"/>
  <c r="R68" i="26"/>
  <c r="Q9" i="26"/>
  <c r="Q68" i="26"/>
  <c r="P9" i="26"/>
  <c r="P68" i="26"/>
  <c r="O9" i="26"/>
  <c r="O68" i="26"/>
  <c r="H9" i="26"/>
  <c r="H68" i="26"/>
  <c r="I9" i="26"/>
  <c r="I68" i="26"/>
  <c r="J9" i="26"/>
  <c r="J68" i="26"/>
  <c r="N68" i="26"/>
  <c r="M68" i="26"/>
  <c r="L68" i="26"/>
  <c r="K68" i="26"/>
  <c r="D9" i="26"/>
  <c r="D68" i="26"/>
  <c r="E9" i="26"/>
  <c r="E68" i="26"/>
  <c r="F9" i="26"/>
  <c r="F68" i="26"/>
  <c r="G68" i="26"/>
  <c r="AG5" i="26"/>
  <c r="AG67" i="26"/>
  <c r="AH5" i="26"/>
  <c r="AH67" i="26"/>
  <c r="AK67" i="26"/>
  <c r="AJ67" i="26"/>
  <c r="AI67" i="26"/>
  <c r="AE5" i="26"/>
  <c r="AD5" i="26"/>
  <c r="AF5" i="26"/>
  <c r="AF67" i="26"/>
  <c r="AE67" i="26"/>
  <c r="AD67" i="26"/>
  <c r="X5" i="26"/>
  <c r="X67" i="26"/>
  <c r="AC67" i="26"/>
  <c r="W5" i="26"/>
  <c r="W67" i="26"/>
  <c r="AB67" i="26"/>
  <c r="V5" i="26"/>
  <c r="V67" i="26"/>
  <c r="AA67" i="26"/>
  <c r="U5" i="26"/>
  <c r="U67" i="26"/>
  <c r="Z67" i="26"/>
  <c r="T5" i="26"/>
  <c r="T67" i="26"/>
  <c r="Y67" i="26"/>
  <c r="S5" i="26"/>
  <c r="S67" i="26"/>
  <c r="R5" i="26"/>
  <c r="R67" i="26"/>
  <c r="Q5" i="26"/>
  <c r="Q67" i="26"/>
  <c r="P5" i="26"/>
  <c r="P67" i="26"/>
  <c r="O5" i="26"/>
  <c r="O67" i="26"/>
  <c r="H5" i="26"/>
  <c r="H67" i="26"/>
  <c r="I5" i="26"/>
  <c r="I67" i="26"/>
  <c r="J5" i="26"/>
  <c r="J67" i="26"/>
  <c r="N67" i="26"/>
  <c r="M67" i="26"/>
  <c r="L67" i="26"/>
  <c r="K67" i="26"/>
  <c r="D5" i="26"/>
  <c r="D67" i="26"/>
  <c r="E5" i="26"/>
  <c r="E67" i="26"/>
  <c r="F5" i="26"/>
  <c r="F67" i="26"/>
  <c r="G67" i="26"/>
  <c r="AG17" i="26"/>
  <c r="AG66" i="26"/>
  <c r="AH17" i="26"/>
  <c r="AH66" i="26"/>
  <c r="AK66" i="26"/>
  <c r="AJ66" i="26"/>
  <c r="AI66" i="26"/>
  <c r="AE17" i="26"/>
  <c r="AD17" i="26"/>
  <c r="AF17" i="26"/>
  <c r="AF66" i="26"/>
  <c r="AE66" i="26"/>
  <c r="AD66" i="26"/>
  <c r="X17" i="26"/>
  <c r="X66" i="26"/>
  <c r="AC66" i="26"/>
  <c r="W17" i="26"/>
  <c r="W66" i="26"/>
  <c r="AB66" i="26"/>
  <c r="V17" i="26"/>
  <c r="V66" i="26"/>
  <c r="AA66" i="26"/>
  <c r="U17" i="26"/>
  <c r="U66" i="26"/>
  <c r="Z66" i="26"/>
  <c r="T17" i="26"/>
  <c r="T66" i="26"/>
  <c r="Y66" i="26"/>
  <c r="S17" i="26"/>
  <c r="S66" i="26"/>
  <c r="R17" i="26"/>
  <c r="R66" i="26"/>
  <c r="Q17" i="26"/>
  <c r="Q66" i="26"/>
  <c r="P17" i="26"/>
  <c r="P66" i="26"/>
  <c r="O17" i="26"/>
  <c r="O66" i="26"/>
  <c r="H17" i="26"/>
  <c r="H66" i="26"/>
  <c r="I17" i="26"/>
  <c r="I66" i="26"/>
  <c r="J17" i="26"/>
  <c r="J66" i="26"/>
  <c r="N66" i="26"/>
  <c r="M66" i="26"/>
  <c r="L66" i="26"/>
  <c r="K66" i="26"/>
  <c r="D17" i="26"/>
  <c r="D66" i="26"/>
  <c r="E17" i="26"/>
  <c r="E66" i="26"/>
  <c r="F17" i="26"/>
  <c r="F66" i="26"/>
  <c r="G66" i="26"/>
  <c r="AG21" i="26"/>
  <c r="AG65" i="26"/>
  <c r="AH21" i="26"/>
  <c r="AH65" i="26"/>
  <c r="AK65" i="26"/>
  <c r="AJ65" i="26"/>
  <c r="AI65" i="26"/>
  <c r="AE21" i="26"/>
  <c r="AD21" i="26"/>
  <c r="AF21" i="26"/>
  <c r="AF65" i="26"/>
  <c r="AE65" i="26"/>
  <c r="AD65" i="26"/>
  <c r="X21" i="26"/>
  <c r="X65" i="26"/>
  <c r="AC65" i="26"/>
  <c r="W21" i="26"/>
  <c r="W65" i="26"/>
  <c r="AB65" i="26"/>
  <c r="V21" i="26"/>
  <c r="V65" i="26"/>
  <c r="AA65" i="26"/>
  <c r="U21" i="26"/>
  <c r="U65" i="26"/>
  <c r="Z65" i="26"/>
  <c r="T21" i="26"/>
  <c r="T65" i="26"/>
  <c r="Y65" i="26"/>
  <c r="S21" i="26"/>
  <c r="S65" i="26"/>
  <c r="R21" i="26"/>
  <c r="R65" i="26"/>
  <c r="Q21" i="26"/>
  <c r="Q65" i="26"/>
  <c r="P21" i="26"/>
  <c r="P65" i="26"/>
  <c r="O21" i="26"/>
  <c r="O65" i="26"/>
  <c r="H21" i="26"/>
  <c r="H65" i="26"/>
  <c r="I21" i="26"/>
  <c r="I65" i="26"/>
  <c r="J21" i="26"/>
  <c r="J65" i="26"/>
  <c r="N65" i="26"/>
  <c r="M65" i="26"/>
  <c r="L65" i="26"/>
  <c r="K65" i="26"/>
  <c r="D21" i="26"/>
  <c r="D65" i="26"/>
  <c r="E21" i="26"/>
  <c r="E65" i="26"/>
  <c r="F21" i="26"/>
  <c r="F65" i="26"/>
  <c r="G65" i="26"/>
  <c r="AG25" i="26"/>
  <c r="AG64" i="26"/>
  <c r="AH25" i="26"/>
  <c r="AH64" i="26"/>
  <c r="AK64" i="26"/>
  <c r="AJ64" i="26"/>
  <c r="AI64" i="26"/>
  <c r="AE25" i="26"/>
  <c r="AD25" i="26"/>
  <c r="AF25" i="26"/>
  <c r="AF64" i="26"/>
  <c r="AE64" i="26"/>
  <c r="AD64" i="26"/>
  <c r="X25" i="26"/>
  <c r="X64" i="26"/>
  <c r="AC64" i="26"/>
  <c r="W25" i="26"/>
  <c r="W64" i="26"/>
  <c r="AB64" i="26"/>
  <c r="V25" i="26"/>
  <c r="V64" i="26"/>
  <c r="AA64" i="26"/>
  <c r="U25" i="26"/>
  <c r="U64" i="26"/>
  <c r="Z64" i="26"/>
  <c r="T25" i="26"/>
  <c r="T64" i="26"/>
  <c r="Y64" i="26"/>
  <c r="S25" i="26"/>
  <c r="S64" i="26"/>
  <c r="R25" i="26"/>
  <c r="R64" i="26"/>
  <c r="Q25" i="26"/>
  <c r="Q64" i="26"/>
  <c r="P25" i="26"/>
  <c r="P64" i="26"/>
  <c r="O25" i="26"/>
  <c r="O64" i="26"/>
  <c r="H25" i="26"/>
  <c r="H64" i="26"/>
  <c r="I25" i="26"/>
  <c r="I64" i="26"/>
  <c r="J25" i="26"/>
  <c r="J64" i="26"/>
  <c r="N64" i="26"/>
  <c r="M64" i="26"/>
  <c r="L64" i="26"/>
  <c r="K64" i="26"/>
  <c r="D25" i="26"/>
  <c r="D64" i="26"/>
  <c r="E25" i="26"/>
  <c r="E64" i="26"/>
  <c r="F25" i="26"/>
  <c r="F64" i="26"/>
  <c r="G64" i="26"/>
  <c r="AK63" i="26"/>
  <c r="AJ63" i="26"/>
  <c r="AI63" i="26"/>
  <c r="AF63" i="26"/>
  <c r="AE63" i="26"/>
  <c r="AD63" i="26"/>
  <c r="AC63" i="26"/>
  <c r="AB63" i="26"/>
  <c r="AA63" i="26"/>
  <c r="Z63" i="26"/>
  <c r="Y63" i="26"/>
  <c r="S63" i="26"/>
  <c r="R63" i="26"/>
  <c r="Q63" i="26"/>
  <c r="P63" i="26"/>
  <c r="O63" i="26"/>
  <c r="N63" i="26"/>
  <c r="M63" i="26"/>
  <c r="L63" i="26"/>
  <c r="K63" i="26"/>
  <c r="G63" i="26"/>
  <c r="F63" i="26"/>
  <c r="E63" i="26"/>
  <c r="D63" i="26"/>
  <c r="AG62" i="26"/>
  <c r="AH62" i="26"/>
  <c r="AK62" i="26"/>
  <c r="AJ62" i="26"/>
  <c r="AI62" i="26"/>
  <c r="AF62" i="26"/>
  <c r="AE62" i="26"/>
  <c r="AD62" i="26"/>
  <c r="X62" i="26"/>
  <c r="AC62" i="26"/>
  <c r="W62" i="26"/>
  <c r="AB62" i="26"/>
  <c r="V62" i="26"/>
  <c r="AA62" i="26"/>
  <c r="U62" i="26"/>
  <c r="Z62" i="26"/>
  <c r="T62" i="26"/>
  <c r="Y62" i="26"/>
  <c r="S62" i="26"/>
  <c r="R62" i="26"/>
  <c r="Q62" i="26"/>
  <c r="P62" i="26"/>
  <c r="O62" i="26"/>
  <c r="H62" i="26"/>
  <c r="I62" i="26"/>
  <c r="J62" i="26"/>
  <c r="N62" i="26"/>
  <c r="M62" i="26"/>
  <c r="L62" i="26"/>
  <c r="K62" i="26"/>
  <c r="D62" i="26"/>
  <c r="E62" i="26"/>
  <c r="F62" i="26"/>
  <c r="G62" i="26"/>
  <c r="AG61" i="26"/>
  <c r="AH61" i="26"/>
  <c r="AK61" i="26"/>
  <c r="AJ61" i="26"/>
  <c r="AI61" i="26"/>
  <c r="AF61" i="26"/>
  <c r="AE61" i="26"/>
  <c r="AD61" i="26"/>
  <c r="X61" i="26"/>
  <c r="AC61" i="26"/>
  <c r="W61" i="26"/>
  <c r="AB61" i="26"/>
  <c r="V61" i="26"/>
  <c r="AA61" i="26"/>
  <c r="U61" i="26"/>
  <c r="Z61" i="26"/>
  <c r="T61" i="26"/>
  <c r="Y61" i="26"/>
  <c r="S61" i="26"/>
  <c r="R61" i="26"/>
  <c r="Q61" i="26"/>
  <c r="P61" i="26"/>
  <c r="O61" i="26"/>
  <c r="H61" i="26"/>
  <c r="I61" i="26"/>
  <c r="J61" i="26"/>
  <c r="N61" i="26"/>
  <c r="M61" i="26"/>
  <c r="L61" i="26"/>
  <c r="K61" i="26"/>
  <c r="D61" i="26"/>
  <c r="E61" i="26"/>
  <c r="F61" i="26"/>
  <c r="G61" i="26"/>
  <c r="AG60" i="26"/>
  <c r="AH60" i="26"/>
  <c r="AK60" i="26"/>
  <c r="AJ60" i="26"/>
  <c r="AI60" i="26"/>
  <c r="AF60" i="26"/>
  <c r="AE60" i="26"/>
  <c r="AD60" i="26"/>
  <c r="X60" i="26"/>
  <c r="AC60" i="26"/>
  <c r="W60" i="26"/>
  <c r="AB60" i="26"/>
  <c r="V60" i="26"/>
  <c r="AA60" i="26"/>
  <c r="U60" i="26"/>
  <c r="Z60" i="26"/>
  <c r="T60" i="26"/>
  <c r="Y60" i="26"/>
  <c r="S60" i="26"/>
  <c r="R60" i="26"/>
  <c r="Q60" i="26"/>
  <c r="P60" i="26"/>
  <c r="O60" i="26"/>
  <c r="H60" i="26"/>
  <c r="I60" i="26"/>
  <c r="J60" i="26"/>
  <c r="N60" i="26"/>
  <c r="M60" i="26"/>
  <c r="L60" i="26"/>
  <c r="K60" i="26"/>
  <c r="D60" i="26"/>
  <c r="E60" i="26"/>
  <c r="F60" i="26"/>
  <c r="G60" i="26"/>
  <c r="AG59" i="26"/>
  <c r="AH59" i="26"/>
  <c r="AK59" i="26"/>
  <c r="AJ59" i="26"/>
  <c r="AI59" i="26"/>
  <c r="AF59" i="26"/>
  <c r="AE59" i="26"/>
  <c r="AD59" i="26"/>
  <c r="X59" i="26"/>
  <c r="AC59" i="26"/>
  <c r="W59" i="26"/>
  <c r="AB59" i="26"/>
  <c r="V59" i="26"/>
  <c r="AA59" i="26"/>
  <c r="U59" i="26"/>
  <c r="Z59" i="26"/>
  <c r="T59" i="26"/>
  <c r="Y59" i="26"/>
  <c r="S59" i="26"/>
  <c r="R59" i="26"/>
  <c r="Q59" i="26"/>
  <c r="P59" i="26"/>
  <c r="O59" i="26"/>
  <c r="H59" i="26"/>
  <c r="I59" i="26"/>
  <c r="J59" i="26"/>
  <c r="N59" i="26"/>
  <c r="M59" i="26"/>
  <c r="L59" i="26"/>
  <c r="K59" i="26"/>
  <c r="D59" i="26"/>
  <c r="E59" i="26"/>
  <c r="F59" i="26"/>
  <c r="G59" i="26"/>
  <c r="AG58" i="26"/>
  <c r="AH58" i="26"/>
  <c r="AK58" i="26"/>
  <c r="AJ58" i="26"/>
  <c r="AI58" i="26"/>
  <c r="AF58" i="26"/>
  <c r="AE58" i="26"/>
  <c r="AD58" i="26"/>
  <c r="X58" i="26"/>
  <c r="AC58" i="26"/>
  <c r="W58" i="26"/>
  <c r="AB58" i="26"/>
  <c r="V58" i="26"/>
  <c r="AA58" i="26"/>
  <c r="U58" i="26"/>
  <c r="Z58" i="26"/>
  <c r="T58" i="26"/>
  <c r="Y58" i="26"/>
  <c r="S58" i="26"/>
  <c r="R58" i="26"/>
  <c r="Q58" i="26"/>
  <c r="P58" i="26"/>
  <c r="O58" i="26"/>
  <c r="H58" i="26"/>
  <c r="I58" i="26"/>
  <c r="J58" i="26"/>
  <c r="N58" i="26"/>
  <c r="M58" i="26"/>
  <c r="L58" i="26"/>
  <c r="K58" i="26"/>
  <c r="D58" i="26"/>
  <c r="E58" i="26"/>
  <c r="F58" i="26"/>
  <c r="G58" i="26"/>
  <c r="AG57" i="26"/>
  <c r="AH57" i="26"/>
  <c r="AK57" i="26"/>
  <c r="AJ57" i="26"/>
  <c r="AI57" i="26"/>
  <c r="AF57" i="26"/>
  <c r="AE57" i="26"/>
  <c r="AD57" i="26"/>
  <c r="X57" i="26"/>
  <c r="AC57" i="26"/>
  <c r="W57" i="26"/>
  <c r="AB57" i="26"/>
  <c r="V57" i="26"/>
  <c r="AA57" i="26"/>
  <c r="U57" i="26"/>
  <c r="Z57" i="26"/>
  <c r="T57" i="26"/>
  <c r="Y57" i="26"/>
  <c r="S57" i="26"/>
  <c r="R57" i="26"/>
  <c r="Q57" i="26"/>
  <c r="P57" i="26"/>
  <c r="O57" i="26"/>
  <c r="H57" i="26"/>
  <c r="I57" i="26"/>
  <c r="J57" i="26"/>
  <c r="N57" i="26"/>
  <c r="M57" i="26"/>
  <c r="L57" i="26"/>
  <c r="K57" i="26"/>
  <c r="D57" i="26"/>
  <c r="E57" i="26"/>
  <c r="F57" i="26"/>
  <c r="G57" i="26"/>
  <c r="AG56" i="26"/>
  <c r="AH56" i="26"/>
  <c r="AK56" i="26"/>
  <c r="AJ56" i="26"/>
  <c r="AI56" i="26"/>
  <c r="AF56" i="26"/>
  <c r="AE56" i="26"/>
  <c r="AD56" i="26"/>
  <c r="X56" i="26"/>
  <c r="AC56" i="26"/>
  <c r="W56" i="26"/>
  <c r="AB56" i="26"/>
  <c r="V56" i="26"/>
  <c r="AA56" i="26"/>
  <c r="U56" i="26"/>
  <c r="Z56" i="26"/>
  <c r="T56" i="26"/>
  <c r="Y56" i="26"/>
  <c r="S56" i="26"/>
  <c r="R56" i="26"/>
  <c r="Q56" i="26"/>
  <c r="P56" i="26"/>
  <c r="O56" i="26"/>
  <c r="H56" i="26"/>
  <c r="I56" i="26"/>
  <c r="J56" i="26"/>
  <c r="N56" i="26"/>
  <c r="M56" i="26"/>
  <c r="L56" i="26"/>
  <c r="K56" i="26"/>
  <c r="D56" i="26"/>
  <c r="E56" i="26"/>
  <c r="F56" i="26"/>
  <c r="G56" i="26"/>
  <c r="AG55" i="26"/>
  <c r="AH55" i="26"/>
  <c r="AK55" i="26"/>
  <c r="AJ55" i="26"/>
  <c r="AI55" i="26"/>
  <c r="AF55" i="26"/>
  <c r="AE55" i="26"/>
  <c r="AD55" i="26"/>
  <c r="X55" i="26"/>
  <c r="AC55" i="26"/>
  <c r="W55" i="26"/>
  <c r="AB55" i="26"/>
  <c r="V55" i="26"/>
  <c r="AA55" i="26"/>
  <c r="U55" i="26"/>
  <c r="Z55" i="26"/>
  <c r="T55" i="26"/>
  <c r="Y55" i="26"/>
  <c r="S55" i="26"/>
  <c r="R55" i="26"/>
  <c r="Q55" i="26"/>
  <c r="P55" i="26"/>
  <c r="O55" i="26"/>
  <c r="H55" i="26"/>
  <c r="I55" i="26"/>
  <c r="J55" i="26"/>
  <c r="N55" i="26"/>
  <c r="M55" i="26"/>
  <c r="L55" i="26"/>
  <c r="K55" i="26"/>
  <c r="D55" i="26"/>
  <c r="E55" i="26"/>
  <c r="F55" i="26"/>
  <c r="G55" i="26"/>
  <c r="AG54" i="26"/>
  <c r="AH54" i="26"/>
  <c r="AK54" i="26"/>
  <c r="AJ54" i="26"/>
  <c r="AI54" i="26"/>
  <c r="AF54" i="26"/>
  <c r="AE54" i="26"/>
  <c r="AD54" i="26"/>
  <c r="X54" i="26"/>
  <c r="AC54" i="26"/>
  <c r="W54" i="26"/>
  <c r="AB54" i="26"/>
  <c r="V54" i="26"/>
  <c r="AA54" i="26"/>
  <c r="U54" i="26"/>
  <c r="Z54" i="26"/>
  <c r="T54" i="26"/>
  <c r="Y54" i="26"/>
  <c r="S54" i="26"/>
  <c r="R54" i="26"/>
  <c r="Q54" i="26"/>
  <c r="P54" i="26"/>
  <c r="O54" i="26"/>
  <c r="H54" i="26"/>
  <c r="I54" i="26"/>
  <c r="J54" i="26"/>
  <c r="N54" i="26"/>
  <c r="M54" i="26"/>
  <c r="L54" i="26"/>
  <c r="K54" i="26"/>
  <c r="D54" i="26"/>
  <c r="E54" i="26"/>
  <c r="F54" i="26"/>
  <c r="G54" i="26"/>
  <c r="AG53" i="26"/>
  <c r="AH53" i="26"/>
  <c r="AK53" i="26"/>
  <c r="AJ53" i="26"/>
  <c r="AI53" i="26"/>
  <c r="AF53" i="26"/>
  <c r="AE53" i="26"/>
  <c r="AD53" i="26"/>
  <c r="X53" i="26"/>
  <c r="AC53" i="26"/>
  <c r="W53" i="26"/>
  <c r="AB53" i="26"/>
  <c r="V53" i="26"/>
  <c r="AA53" i="26"/>
  <c r="U53" i="26"/>
  <c r="Z53" i="26"/>
  <c r="T53" i="26"/>
  <c r="Y53" i="26"/>
  <c r="S53" i="26"/>
  <c r="R53" i="26"/>
  <c r="Q53" i="26"/>
  <c r="P53" i="26"/>
  <c r="O53" i="26"/>
  <c r="H53" i="26"/>
  <c r="I53" i="26"/>
  <c r="J53" i="26"/>
  <c r="N53" i="26"/>
  <c r="M53" i="26"/>
  <c r="L53" i="26"/>
  <c r="K53" i="26"/>
  <c r="D53" i="26"/>
  <c r="E53" i="26"/>
  <c r="F53" i="26"/>
  <c r="G53" i="26"/>
  <c r="AG52" i="26"/>
  <c r="AH52" i="26"/>
  <c r="AK52" i="26"/>
  <c r="AJ52" i="26"/>
  <c r="AI52" i="26"/>
  <c r="AF52" i="26"/>
  <c r="AE52" i="26"/>
  <c r="AD52" i="26"/>
  <c r="X52" i="26"/>
  <c r="AC52" i="26"/>
  <c r="W52" i="26"/>
  <c r="AB52" i="26"/>
  <c r="V52" i="26"/>
  <c r="AA52" i="26"/>
  <c r="U52" i="26"/>
  <c r="Z52" i="26"/>
  <c r="T52" i="26"/>
  <c r="Y52" i="26"/>
  <c r="S52" i="26"/>
  <c r="R52" i="26"/>
  <c r="Q52" i="26"/>
  <c r="P52" i="26"/>
  <c r="O52" i="26"/>
  <c r="H52" i="26"/>
  <c r="I52" i="26"/>
  <c r="J52" i="26"/>
  <c r="N52" i="26"/>
  <c r="M52" i="26"/>
  <c r="L52" i="26"/>
  <c r="K52" i="26"/>
  <c r="D52" i="26"/>
  <c r="E52" i="26"/>
  <c r="F52" i="26"/>
  <c r="G52" i="26"/>
  <c r="AG51" i="26"/>
  <c r="AH51" i="26"/>
  <c r="AK51" i="26"/>
  <c r="AJ51" i="26"/>
  <c r="AI51" i="26"/>
  <c r="AF51" i="26"/>
  <c r="AE51" i="26"/>
  <c r="AD51" i="26"/>
  <c r="X51" i="26"/>
  <c r="AC51" i="26"/>
  <c r="W51" i="26"/>
  <c r="AB51" i="26"/>
  <c r="V51" i="26"/>
  <c r="AA51" i="26"/>
  <c r="U51" i="26"/>
  <c r="Z51" i="26"/>
  <c r="T51" i="26"/>
  <c r="Y51" i="26"/>
  <c r="S51" i="26"/>
  <c r="R51" i="26"/>
  <c r="Q51" i="26"/>
  <c r="P51" i="26"/>
  <c r="O51" i="26"/>
  <c r="H51" i="26"/>
  <c r="I51" i="26"/>
  <c r="J51" i="26"/>
  <c r="N51" i="26"/>
  <c r="M51" i="26"/>
  <c r="L51" i="26"/>
  <c r="K51" i="26"/>
  <c r="D51" i="26"/>
  <c r="E51" i="26"/>
  <c r="F51" i="26"/>
  <c r="G51" i="26"/>
  <c r="AG50" i="26"/>
  <c r="AH50" i="26"/>
  <c r="AK50" i="26"/>
  <c r="AJ50" i="26"/>
  <c r="AI50" i="26"/>
  <c r="AF50" i="26"/>
  <c r="AE50" i="26"/>
  <c r="AD50" i="26"/>
  <c r="X50" i="26"/>
  <c r="AC50" i="26"/>
  <c r="W50" i="26"/>
  <c r="AB50" i="26"/>
  <c r="V50" i="26"/>
  <c r="AA50" i="26"/>
  <c r="U50" i="26"/>
  <c r="Z50" i="26"/>
  <c r="T50" i="26"/>
  <c r="Y50" i="26"/>
  <c r="S50" i="26"/>
  <c r="R50" i="26"/>
  <c r="Q50" i="26"/>
  <c r="P50" i="26"/>
  <c r="O50" i="26"/>
  <c r="H50" i="26"/>
  <c r="I50" i="26"/>
  <c r="J50" i="26"/>
  <c r="N50" i="26"/>
  <c r="M50" i="26"/>
  <c r="L50" i="26"/>
  <c r="K50" i="26"/>
  <c r="D50" i="26"/>
  <c r="E50" i="26"/>
  <c r="F50" i="26"/>
  <c r="G50" i="26"/>
  <c r="AG23" i="26"/>
  <c r="AG49" i="26"/>
  <c r="AH23" i="26"/>
  <c r="AH49" i="26"/>
  <c r="AK49" i="26"/>
  <c r="AJ49" i="26"/>
  <c r="AI49" i="26"/>
  <c r="AE23" i="26"/>
  <c r="AD23" i="26"/>
  <c r="AF23" i="26"/>
  <c r="AF49" i="26"/>
  <c r="AE49" i="26"/>
  <c r="AD49" i="26"/>
  <c r="X23" i="26"/>
  <c r="X49" i="26"/>
  <c r="AC49" i="26"/>
  <c r="W23" i="26"/>
  <c r="W49" i="26"/>
  <c r="AB49" i="26"/>
  <c r="V23" i="26"/>
  <c r="V49" i="26"/>
  <c r="AA49" i="26"/>
  <c r="U23" i="26"/>
  <c r="U49" i="26"/>
  <c r="Z49" i="26"/>
  <c r="T23" i="26"/>
  <c r="T49" i="26"/>
  <c r="Y49" i="26"/>
  <c r="S23" i="26"/>
  <c r="S49" i="26"/>
  <c r="R23" i="26"/>
  <c r="R49" i="26"/>
  <c r="Q23" i="26"/>
  <c r="Q49" i="26"/>
  <c r="P23" i="26"/>
  <c r="P49" i="26"/>
  <c r="O23" i="26"/>
  <c r="O49" i="26"/>
  <c r="H23" i="26"/>
  <c r="H49" i="26"/>
  <c r="I23" i="26"/>
  <c r="I49" i="26"/>
  <c r="J23" i="26"/>
  <c r="J49" i="26"/>
  <c r="N49" i="26"/>
  <c r="M49" i="26"/>
  <c r="L49" i="26"/>
  <c r="K49" i="26"/>
  <c r="D23" i="26"/>
  <c r="D49" i="26"/>
  <c r="E23" i="26"/>
  <c r="E49" i="26"/>
  <c r="F23" i="26"/>
  <c r="F49" i="26"/>
  <c r="G49" i="26"/>
  <c r="AK48" i="26"/>
  <c r="AJ48" i="26"/>
  <c r="AI48" i="26"/>
  <c r="AF48" i="26"/>
  <c r="AE48" i="26"/>
  <c r="AD48" i="26"/>
  <c r="AC48" i="26"/>
  <c r="AB48" i="26"/>
  <c r="AA48" i="26"/>
  <c r="Z48" i="26"/>
  <c r="Y48" i="26"/>
  <c r="S48" i="26"/>
  <c r="R48" i="26"/>
  <c r="Q48" i="26"/>
  <c r="P48" i="26"/>
  <c r="O48" i="26"/>
  <c r="N48" i="26"/>
  <c r="M48" i="26"/>
  <c r="L48" i="26"/>
  <c r="K48" i="26"/>
  <c r="G48" i="26"/>
  <c r="F48" i="26"/>
  <c r="E48" i="26"/>
  <c r="D48" i="26"/>
  <c r="AG6" i="26"/>
  <c r="AG47" i="26"/>
  <c r="AH6" i="26"/>
  <c r="AH47" i="26"/>
  <c r="AK47" i="26"/>
  <c r="AJ47" i="26"/>
  <c r="AI47" i="26"/>
  <c r="AE6" i="26"/>
  <c r="AD6" i="26"/>
  <c r="AF6" i="26"/>
  <c r="AF47" i="26"/>
  <c r="AE47" i="26"/>
  <c r="AD47" i="26"/>
  <c r="X6" i="26"/>
  <c r="X47" i="26"/>
  <c r="AC47" i="26"/>
  <c r="W6" i="26"/>
  <c r="W47" i="26"/>
  <c r="AB47" i="26"/>
  <c r="V6" i="26"/>
  <c r="V47" i="26"/>
  <c r="AA47" i="26"/>
  <c r="U6" i="26"/>
  <c r="U47" i="26"/>
  <c r="Z47" i="26"/>
  <c r="T6" i="26"/>
  <c r="T47" i="26"/>
  <c r="Y47" i="26"/>
  <c r="S6" i="26"/>
  <c r="S47" i="26"/>
  <c r="R6" i="26"/>
  <c r="R47" i="26"/>
  <c r="Q6" i="26"/>
  <c r="Q47" i="26"/>
  <c r="P6" i="26"/>
  <c r="P47" i="26"/>
  <c r="O6" i="26"/>
  <c r="O47" i="26"/>
  <c r="H6" i="26"/>
  <c r="H47" i="26"/>
  <c r="I6" i="26"/>
  <c r="I47" i="26"/>
  <c r="J6" i="26"/>
  <c r="J47" i="26"/>
  <c r="N47" i="26"/>
  <c r="M47" i="26"/>
  <c r="L47" i="26"/>
  <c r="K47" i="26"/>
  <c r="D6" i="26"/>
  <c r="D47" i="26"/>
  <c r="E6" i="26"/>
  <c r="E47" i="26"/>
  <c r="F6" i="26"/>
  <c r="F47" i="26"/>
  <c r="G47" i="26"/>
  <c r="AG10" i="26"/>
  <c r="AG46" i="26"/>
  <c r="AH10" i="26"/>
  <c r="AH46" i="26"/>
  <c r="AK46" i="26"/>
  <c r="AJ46" i="26"/>
  <c r="AI46" i="26"/>
  <c r="AE10" i="26"/>
  <c r="AD10" i="26"/>
  <c r="AF10" i="26"/>
  <c r="AF46" i="26"/>
  <c r="AE46" i="26"/>
  <c r="AD46" i="26"/>
  <c r="X10" i="26"/>
  <c r="X46" i="26"/>
  <c r="AC46" i="26"/>
  <c r="W10" i="26"/>
  <c r="W46" i="26"/>
  <c r="AB46" i="26"/>
  <c r="V10" i="26"/>
  <c r="V46" i="26"/>
  <c r="AA46" i="26"/>
  <c r="U10" i="26"/>
  <c r="U46" i="26"/>
  <c r="Z46" i="26"/>
  <c r="T10" i="26"/>
  <c r="T46" i="26"/>
  <c r="Y46" i="26"/>
  <c r="S10" i="26"/>
  <c r="S46" i="26"/>
  <c r="R10" i="26"/>
  <c r="R46" i="26"/>
  <c r="Q10" i="26"/>
  <c r="Q46" i="26"/>
  <c r="P10" i="26"/>
  <c r="P46" i="26"/>
  <c r="O10" i="26"/>
  <c r="O46" i="26"/>
  <c r="H10" i="26"/>
  <c r="H46" i="26"/>
  <c r="I10" i="26"/>
  <c r="I46" i="26"/>
  <c r="J10" i="26"/>
  <c r="J46" i="26"/>
  <c r="N46" i="26"/>
  <c r="M46" i="26"/>
  <c r="L46" i="26"/>
  <c r="K46" i="26"/>
  <c r="D10" i="26"/>
  <c r="D46" i="26"/>
  <c r="E10" i="26"/>
  <c r="E46" i="26"/>
  <c r="F10" i="26"/>
  <c r="F46" i="26"/>
  <c r="G46" i="26"/>
  <c r="AK45" i="26"/>
  <c r="AJ45" i="26"/>
  <c r="AI45" i="26"/>
  <c r="AF45" i="26"/>
  <c r="AE45" i="26"/>
  <c r="AD45" i="26"/>
  <c r="AC45" i="26"/>
  <c r="AB45" i="26"/>
  <c r="AA45" i="26"/>
  <c r="Z45" i="26"/>
  <c r="Y45" i="26"/>
  <c r="S45" i="26"/>
  <c r="R45" i="26"/>
  <c r="Q45" i="26"/>
  <c r="P45" i="26"/>
  <c r="O45" i="26"/>
  <c r="N45" i="26"/>
  <c r="M45" i="26"/>
  <c r="L45" i="26"/>
  <c r="K45" i="26"/>
  <c r="G45" i="26"/>
  <c r="F45" i="26"/>
  <c r="E45" i="26"/>
  <c r="D45" i="26"/>
  <c r="AG15" i="26"/>
  <c r="AG44" i="26"/>
  <c r="AH15" i="26"/>
  <c r="AH44" i="26"/>
  <c r="AK44" i="26"/>
  <c r="AJ44" i="26"/>
  <c r="AI44" i="26"/>
  <c r="AE15" i="26"/>
  <c r="AD15" i="26"/>
  <c r="AF15" i="26"/>
  <c r="AF44" i="26"/>
  <c r="AE44" i="26"/>
  <c r="AD44" i="26"/>
  <c r="X15" i="26"/>
  <c r="X44" i="26"/>
  <c r="AC44" i="26"/>
  <c r="W15" i="26"/>
  <c r="W44" i="26"/>
  <c r="AB44" i="26"/>
  <c r="V15" i="26"/>
  <c r="V44" i="26"/>
  <c r="AA44" i="26"/>
  <c r="U15" i="26"/>
  <c r="U44" i="26"/>
  <c r="Z44" i="26"/>
  <c r="T15" i="26"/>
  <c r="T44" i="26"/>
  <c r="Y44" i="26"/>
  <c r="S15" i="26"/>
  <c r="S44" i="26"/>
  <c r="R15" i="26"/>
  <c r="R44" i="26"/>
  <c r="Q15" i="26"/>
  <c r="Q44" i="26"/>
  <c r="P15" i="26"/>
  <c r="P44" i="26"/>
  <c r="O15" i="26"/>
  <c r="O44" i="26"/>
  <c r="H15" i="26"/>
  <c r="H44" i="26"/>
  <c r="I15" i="26"/>
  <c r="I44" i="26"/>
  <c r="J15" i="26"/>
  <c r="J44" i="26"/>
  <c r="N44" i="26"/>
  <c r="M44" i="26"/>
  <c r="L44" i="26"/>
  <c r="K44" i="26"/>
  <c r="E15" i="26"/>
  <c r="E44" i="26"/>
  <c r="F15" i="26"/>
  <c r="F44" i="26"/>
  <c r="G44" i="26"/>
  <c r="AG28" i="26"/>
  <c r="AG43" i="26"/>
  <c r="AH28" i="26"/>
  <c r="AH43" i="26"/>
  <c r="AK43" i="26"/>
  <c r="AJ43" i="26"/>
  <c r="AI43" i="26"/>
  <c r="AE28" i="26"/>
  <c r="AD28" i="26"/>
  <c r="AF28" i="26"/>
  <c r="AF43" i="26"/>
  <c r="AE43" i="26"/>
  <c r="AD43" i="26"/>
  <c r="X28" i="26"/>
  <c r="X43" i="26"/>
  <c r="AC43" i="26"/>
  <c r="W28" i="26"/>
  <c r="W43" i="26"/>
  <c r="AB43" i="26"/>
  <c r="V28" i="26"/>
  <c r="V43" i="26"/>
  <c r="AA43" i="26"/>
  <c r="U28" i="26"/>
  <c r="U43" i="26"/>
  <c r="Z43" i="26"/>
  <c r="T28" i="26"/>
  <c r="T43" i="26"/>
  <c r="Y43" i="26"/>
  <c r="S28" i="26"/>
  <c r="S43" i="26"/>
  <c r="R28" i="26"/>
  <c r="R43" i="26"/>
  <c r="Q28" i="26"/>
  <c r="Q43" i="26"/>
  <c r="P28" i="26"/>
  <c r="P43" i="26"/>
  <c r="O28" i="26"/>
  <c r="O43" i="26"/>
  <c r="H28" i="26"/>
  <c r="H43" i="26"/>
  <c r="I28" i="26"/>
  <c r="I43" i="26"/>
  <c r="J28" i="26"/>
  <c r="J43" i="26"/>
  <c r="N43" i="26"/>
  <c r="M43" i="26"/>
  <c r="L43" i="26"/>
  <c r="K43" i="26"/>
  <c r="E28" i="26"/>
  <c r="E43" i="26"/>
  <c r="F28" i="26"/>
  <c r="F43" i="26"/>
  <c r="G43" i="26"/>
  <c r="AG19" i="26"/>
  <c r="AG42" i="26"/>
  <c r="AH19" i="26"/>
  <c r="AH42" i="26"/>
  <c r="AK42" i="26"/>
  <c r="AJ42" i="26"/>
  <c r="AI42" i="26"/>
  <c r="AE19" i="26"/>
  <c r="AD19" i="26"/>
  <c r="AF19" i="26"/>
  <c r="AF42" i="26"/>
  <c r="AE42" i="26"/>
  <c r="AD42" i="26"/>
  <c r="X19" i="26"/>
  <c r="X42" i="26"/>
  <c r="AC42" i="26"/>
  <c r="W19" i="26"/>
  <c r="W42" i="26"/>
  <c r="AB42" i="26"/>
  <c r="V19" i="26"/>
  <c r="V42" i="26"/>
  <c r="AA42" i="26"/>
  <c r="U19" i="26"/>
  <c r="U42" i="26"/>
  <c r="Z42" i="26"/>
  <c r="T19" i="26"/>
  <c r="T42" i="26"/>
  <c r="Y42" i="26"/>
  <c r="S19" i="26"/>
  <c r="S42" i="26"/>
  <c r="R19" i="26"/>
  <c r="R42" i="26"/>
  <c r="Q19" i="26"/>
  <c r="Q42" i="26"/>
  <c r="P19" i="26"/>
  <c r="P42" i="26"/>
  <c r="O19" i="26"/>
  <c r="O42" i="26"/>
  <c r="H19" i="26"/>
  <c r="H42" i="26"/>
  <c r="I19" i="26"/>
  <c r="I42" i="26"/>
  <c r="J19" i="26"/>
  <c r="J42" i="26"/>
  <c r="N42" i="26"/>
  <c r="M42" i="26"/>
  <c r="L42" i="26"/>
  <c r="K42" i="26"/>
  <c r="E19" i="26"/>
  <c r="E42" i="26"/>
  <c r="F19" i="26"/>
  <c r="F42" i="26"/>
  <c r="G42" i="26"/>
  <c r="AG8" i="26"/>
  <c r="AG41" i="26"/>
  <c r="AH8" i="26"/>
  <c r="AH41" i="26"/>
  <c r="AK41" i="26"/>
  <c r="AJ41" i="26"/>
  <c r="AI41" i="26"/>
  <c r="AE8" i="26"/>
  <c r="AD8" i="26"/>
  <c r="AF8" i="26"/>
  <c r="AF41" i="26"/>
  <c r="AE41" i="26"/>
  <c r="AD41" i="26"/>
  <c r="X8" i="26"/>
  <c r="X41" i="26"/>
  <c r="AC41" i="26"/>
  <c r="W8" i="26"/>
  <c r="W41" i="26"/>
  <c r="AB41" i="26"/>
  <c r="V8" i="26"/>
  <c r="V41" i="26"/>
  <c r="AA41" i="26"/>
  <c r="U8" i="26"/>
  <c r="U41" i="26"/>
  <c r="Z41" i="26"/>
  <c r="T8" i="26"/>
  <c r="T41" i="26"/>
  <c r="Y41" i="26"/>
  <c r="S8" i="26"/>
  <c r="S41" i="26"/>
  <c r="R8" i="26"/>
  <c r="R41" i="26"/>
  <c r="Q8" i="26"/>
  <c r="Q41" i="26"/>
  <c r="P8" i="26"/>
  <c r="P41" i="26"/>
  <c r="O8" i="26"/>
  <c r="O41" i="26"/>
  <c r="H8" i="26"/>
  <c r="H41" i="26"/>
  <c r="I8" i="26"/>
  <c r="I41" i="26"/>
  <c r="J8" i="26"/>
  <c r="J41" i="26"/>
  <c r="N41" i="26"/>
  <c r="M41" i="26"/>
  <c r="L41" i="26"/>
  <c r="K41" i="26"/>
  <c r="E8" i="26"/>
  <c r="E41" i="26"/>
  <c r="F8" i="26"/>
  <c r="F41" i="26"/>
  <c r="G41" i="26"/>
  <c r="AG4" i="26"/>
  <c r="AG40" i="26"/>
  <c r="AH4" i="26"/>
  <c r="AH40" i="26"/>
  <c r="AK40" i="26"/>
  <c r="AJ40" i="26"/>
  <c r="AI40" i="26"/>
  <c r="AE4" i="26"/>
  <c r="AD4" i="26"/>
  <c r="AF4" i="26"/>
  <c r="AF40" i="26"/>
  <c r="AE40" i="26"/>
  <c r="AD40" i="26"/>
  <c r="X4" i="26"/>
  <c r="X40" i="26"/>
  <c r="AC40" i="26"/>
  <c r="W4" i="26"/>
  <c r="W40" i="26"/>
  <c r="AB40" i="26"/>
  <c r="V4" i="26"/>
  <c r="V40" i="26"/>
  <c r="AA40" i="26"/>
  <c r="U4" i="26"/>
  <c r="U40" i="26"/>
  <c r="Z40" i="26"/>
  <c r="T4" i="26"/>
  <c r="T40" i="26"/>
  <c r="Y40" i="26"/>
  <c r="S4" i="26"/>
  <c r="S40" i="26"/>
  <c r="R4" i="26"/>
  <c r="R40" i="26"/>
  <c r="Q4" i="26"/>
  <c r="Q40" i="26"/>
  <c r="P4" i="26"/>
  <c r="P40" i="26"/>
  <c r="O4" i="26"/>
  <c r="O40" i="26"/>
  <c r="H4" i="26"/>
  <c r="H40" i="26"/>
  <c r="I4" i="26"/>
  <c r="I40" i="26"/>
  <c r="J4" i="26"/>
  <c r="J40" i="26"/>
  <c r="N40" i="26"/>
  <c r="M40" i="26"/>
  <c r="L40" i="26"/>
  <c r="K40" i="26"/>
  <c r="E4" i="26"/>
  <c r="E40" i="26"/>
  <c r="F4" i="26"/>
  <c r="F40" i="26"/>
  <c r="G40" i="26"/>
  <c r="AG11" i="26"/>
  <c r="AG39" i="26"/>
  <c r="AH11" i="26"/>
  <c r="AH39" i="26"/>
  <c r="AK39" i="26"/>
  <c r="AJ39" i="26"/>
  <c r="AI39" i="26"/>
  <c r="AE11" i="26"/>
  <c r="AD11" i="26"/>
  <c r="AF11" i="26"/>
  <c r="AF39" i="26"/>
  <c r="AE39" i="26"/>
  <c r="AD39" i="26"/>
  <c r="X11" i="26"/>
  <c r="X39" i="26"/>
  <c r="AC39" i="26"/>
  <c r="W11" i="26"/>
  <c r="W39" i="26"/>
  <c r="AB39" i="26"/>
  <c r="V11" i="26"/>
  <c r="V39" i="26"/>
  <c r="AA39" i="26"/>
  <c r="U11" i="26"/>
  <c r="U39" i="26"/>
  <c r="Z39" i="26"/>
  <c r="T11" i="26"/>
  <c r="T39" i="26"/>
  <c r="Y39" i="26"/>
  <c r="S11" i="26"/>
  <c r="S39" i="26"/>
  <c r="R11" i="26"/>
  <c r="R39" i="26"/>
  <c r="Q11" i="26"/>
  <c r="Q39" i="26"/>
  <c r="P11" i="26"/>
  <c r="P39" i="26"/>
  <c r="O11" i="26"/>
  <c r="O39" i="26"/>
  <c r="H11" i="26"/>
  <c r="H39" i="26"/>
  <c r="I11" i="26"/>
  <c r="I39" i="26"/>
  <c r="J11" i="26"/>
  <c r="J39" i="26"/>
  <c r="N39" i="26"/>
  <c r="M39" i="26"/>
  <c r="L39" i="26"/>
  <c r="K39" i="26"/>
  <c r="E11" i="26"/>
  <c r="E39" i="26"/>
  <c r="F11" i="26"/>
  <c r="F39" i="26"/>
  <c r="G39" i="26"/>
  <c r="AG2" i="26"/>
  <c r="AG38" i="26"/>
  <c r="AH2" i="26"/>
  <c r="AH38" i="26"/>
  <c r="AK38" i="26"/>
  <c r="AJ38" i="26"/>
  <c r="AI38" i="26"/>
  <c r="AE2" i="26"/>
  <c r="AD2" i="26"/>
  <c r="AF2" i="26"/>
  <c r="AF38" i="26"/>
  <c r="AE38" i="26"/>
  <c r="AD38" i="26"/>
  <c r="X2" i="26"/>
  <c r="X38" i="26"/>
  <c r="AC38" i="26"/>
  <c r="W2" i="26"/>
  <c r="W38" i="26"/>
  <c r="AB38" i="26"/>
  <c r="V2" i="26"/>
  <c r="V38" i="26"/>
  <c r="AA38" i="26"/>
  <c r="U2" i="26"/>
  <c r="U38" i="26"/>
  <c r="Z38" i="26"/>
  <c r="T2" i="26"/>
  <c r="T38" i="26"/>
  <c r="Y38" i="26"/>
  <c r="S2" i="26"/>
  <c r="S38" i="26"/>
  <c r="R2" i="26"/>
  <c r="R38" i="26"/>
  <c r="Q2" i="26"/>
  <c r="Q38" i="26"/>
  <c r="P2" i="26"/>
  <c r="P38" i="26"/>
  <c r="O2" i="26"/>
  <c r="O38" i="26"/>
  <c r="H2" i="26"/>
  <c r="H38" i="26"/>
  <c r="I2" i="26"/>
  <c r="I38" i="26"/>
  <c r="J2" i="26"/>
  <c r="J38" i="26"/>
  <c r="N38" i="26"/>
  <c r="M38" i="26"/>
  <c r="L38" i="26"/>
  <c r="K38" i="26"/>
  <c r="E2" i="26"/>
  <c r="E38" i="26"/>
  <c r="F2" i="26"/>
  <c r="F38" i="26"/>
  <c r="G38" i="26"/>
  <c r="AG22" i="26"/>
  <c r="AG37" i="26"/>
  <c r="AH22" i="26"/>
  <c r="AH37" i="26"/>
  <c r="AK37" i="26"/>
  <c r="AJ37" i="26"/>
  <c r="AI37" i="26"/>
  <c r="AE22" i="26"/>
  <c r="AD22" i="26"/>
  <c r="AF22" i="26"/>
  <c r="AF37" i="26"/>
  <c r="AE37" i="26"/>
  <c r="AD37" i="26"/>
  <c r="X22" i="26"/>
  <c r="X37" i="26"/>
  <c r="AC37" i="26"/>
  <c r="W22" i="26"/>
  <c r="W37" i="26"/>
  <c r="AB37" i="26"/>
  <c r="V22" i="26"/>
  <c r="V37" i="26"/>
  <c r="AA37" i="26"/>
  <c r="U22" i="26"/>
  <c r="U37" i="26"/>
  <c r="Z37" i="26"/>
  <c r="T22" i="26"/>
  <c r="T37" i="26"/>
  <c r="Y37" i="26"/>
  <c r="S22" i="26"/>
  <c r="S37" i="26"/>
  <c r="R22" i="26"/>
  <c r="R37" i="26"/>
  <c r="Q22" i="26"/>
  <c r="Q37" i="26"/>
  <c r="P22" i="26"/>
  <c r="P37" i="26"/>
  <c r="O22" i="26"/>
  <c r="O37" i="26"/>
  <c r="H22" i="26"/>
  <c r="H37" i="26"/>
  <c r="I22" i="26"/>
  <c r="I37" i="26"/>
  <c r="J22" i="26"/>
  <c r="J37" i="26"/>
  <c r="N37" i="26"/>
  <c r="M37" i="26"/>
  <c r="L37" i="26"/>
  <c r="K37" i="26"/>
  <c r="E22" i="26"/>
  <c r="E37" i="26"/>
  <c r="F22" i="26"/>
  <c r="F37" i="26"/>
  <c r="G37" i="26"/>
  <c r="AG26" i="26"/>
  <c r="AG36" i="26"/>
  <c r="AH26" i="26"/>
  <c r="AH36" i="26"/>
  <c r="AK36" i="26"/>
  <c r="AJ36" i="26"/>
  <c r="AI36" i="26"/>
  <c r="AE26" i="26"/>
  <c r="AD26" i="26"/>
  <c r="AF26" i="26"/>
  <c r="AF36" i="26"/>
  <c r="AE36" i="26"/>
  <c r="AD36" i="26"/>
  <c r="X26" i="26"/>
  <c r="X36" i="26"/>
  <c r="AC36" i="26"/>
  <c r="W26" i="26"/>
  <c r="W36" i="26"/>
  <c r="AB36" i="26"/>
  <c r="V26" i="26"/>
  <c r="V36" i="26"/>
  <c r="AA36" i="26"/>
  <c r="U26" i="26"/>
  <c r="U36" i="26"/>
  <c r="Z36" i="26"/>
  <c r="T26" i="26"/>
  <c r="T36" i="26"/>
  <c r="Y36" i="26"/>
  <c r="S26" i="26"/>
  <c r="S36" i="26"/>
  <c r="R26" i="26"/>
  <c r="R36" i="26"/>
  <c r="Q26" i="26"/>
  <c r="Q36" i="26"/>
  <c r="P26" i="26"/>
  <c r="P36" i="26"/>
  <c r="O26" i="26"/>
  <c r="O36" i="26"/>
  <c r="H26" i="26"/>
  <c r="H36" i="26"/>
  <c r="I26" i="26"/>
  <c r="I36" i="26"/>
  <c r="J26" i="26"/>
  <c r="J36" i="26"/>
  <c r="N36" i="26"/>
  <c r="M36" i="26"/>
  <c r="L36" i="26"/>
  <c r="K36" i="26"/>
  <c r="E26" i="26"/>
  <c r="E36" i="26"/>
  <c r="F26" i="26"/>
  <c r="F36" i="26"/>
  <c r="G36" i="26"/>
  <c r="AG30" i="26"/>
  <c r="AG35" i="26"/>
  <c r="AH30" i="26"/>
  <c r="AH35" i="26"/>
  <c r="AK35" i="26"/>
  <c r="AJ35" i="26"/>
  <c r="AI35" i="26"/>
  <c r="AE30" i="26"/>
  <c r="AD30" i="26"/>
  <c r="AF30" i="26"/>
  <c r="AF35" i="26"/>
  <c r="AE35" i="26"/>
  <c r="AD35" i="26"/>
  <c r="X30" i="26"/>
  <c r="X35" i="26"/>
  <c r="AC35" i="26"/>
  <c r="W30" i="26"/>
  <c r="W35" i="26"/>
  <c r="AB35" i="26"/>
  <c r="V30" i="26"/>
  <c r="V35" i="26"/>
  <c r="AA35" i="26"/>
  <c r="U30" i="26"/>
  <c r="U35" i="26"/>
  <c r="Z35" i="26"/>
  <c r="T30" i="26"/>
  <c r="T35" i="26"/>
  <c r="Y35" i="26"/>
  <c r="S30" i="26"/>
  <c r="S35" i="26"/>
  <c r="R30" i="26"/>
  <c r="R35" i="26"/>
  <c r="Q30" i="26"/>
  <c r="Q35" i="26"/>
  <c r="P30" i="26"/>
  <c r="P35" i="26"/>
  <c r="O30" i="26"/>
  <c r="O35" i="26"/>
  <c r="H30" i="26"/>
  <c r="H35" i="26"/>
  <c r="I30" i="26"/>
  <c r="I35" i="26"/>
  <c r="J30" i="26"/>
  <c r="J35" i="26"/>
  <c r="N35" i="26"/>
  <c r="M35" i="26"/>
  <c r="L35" i="26"/>
  <c r="K35" i="26"/>
  <c r="E30" i="26"/>
  <c r="E35" i="26"/>
  <c r="F30" i="26"/>
  <c r="F35" i="26"/>
  <c r="G35" i="26"/>
  <c r="AG14" i="26"/>
  <c r="AG34" i="26"/>
  <c r="AH14" i="26"/>
  <c r="AH34" i="26"/>
  <c r="AK34" i="26"/>
  <c r="AJ34" i="26"/>
  <c r="AI34" i="26"/>
  <c r="AE14" i="26"/>
  <c r="AD14" i="26"/>
  <c r="AF14" i="26"/>
  <c r="AF34" i="26"/>
  <c r="AE34" i="26"/>
  <c r="AD34" i="26"/>
  <c r="X14" i="26"/>
  <c r="X34" i="26"/>
  <c r="AC34" i="26"/>
  <c r="W14" i="26"/>
  <c r="W34" i="26"/>
  <c r="AB34" i="26"/>
  <c r="V14" i="26"/>
  <c r="V34" i="26"/>
  <c r="AA34" i="26"/>
  <c r="U14" i="26"/>
  <c r="U34" i="26"/>
  <c r="Z34" i="26"/>
  <c r="T14" i="26"/>
  <c r="T34" i="26"/>
  <c r="Y34" i="26"/>
  <c r="S14" i="26"/>
  <c r="S34" i="26"/>
  <c r="R14" i="26"/>
  <c r="R34" i="26"/>
  <c r="Q14" i="26"/>
  <c r="Q34" i="26"/>
  <c r="P14" i="26"/>
  <c r="P34" i="26"/>
  <c r="O14" i="26"/>
  <c r="O34" i="26"/>
  <c r="H14" i="26"/>
  <c r="H34" i="26"/>
  <c r="I14" i="26"/>
  <c r="I34" i="26"/>
  <c r="J14" i="26"/>
  <c r="J34" i="26"/>
  <c r="N34" i="26"/>
  <c r="M34" i="26"/>
  <c r="L34" i="26"/>
  <c r="K34" i="26"/>
  <c r="E14" i="26"/>
  <c r="E34" i="26"/>
  <c r="F14" i="26"/>
  <c r="F34" i="26"/>
  <c r="G34" i="26"/>
  <c r="AG13" i="26"/>
  <c r="AG33" i="26"/>
  <c r="AH13" i="26"/>
  <c r="AH33" i="26"/>
  <c r="AK33" i="26"/>
  <c r="AJ33" i="26"/>
  <c r="AI33" i="26"/>
  <c r="AE13" i="26"/>
  <c r="AD13" i="26"/>
  <c r="AF13" i="26"/>
  <c r="AF33" i="26"/>
  <c r="AE33" i="26"/>
  <c r="AD33" i="26"/>
  <c r="X13" i="26"/>
  <c r="X33" i="26"/>
  <c r="AC33" i="26"/>
  <c r="W13" i="26"/>
  <c r="W33" i="26"/>
  <c r="AB33" i="26"/>
  <c r="V13" i="26"/>
  <c r="V33" i="26"/>
  <c r="AA33" i="26"/>
  <c r="U13" i="26"/>
  <c r="U33" i="26"/>
  <c r="Z33" i="26"/>
  <c r="T13" i="26"/>
  <c r="T33" i="26"/>
  <c r="Y33" i="26"/>
  <c r="S13" i="26"/>
  <c r="S33" i="26"/>
  <c r="R13" i="26"/>
  <c r="R33" i="26"/>
  <c r="Q13" i="26"/>
  <c r="Q33" i="26"/>
  <c r="P13" i="26"/>
  <c r="P33" i="26"/>
  <c r="O13" i="26"/>
  <c r="O33" i="26"/>
  <c r="H13" i="26"/>
  <c r="H33" i="26"/>
  <c r="I13" i="26"/>
  <c r="I33" i="26"/>
  <c r="J13" i="26"/>
  <c r="J33" i="26"/>
  <c r="N33" i="26"/>
  <c r="M33" i="26"/>
  <c r="L33" i="26"/>
  <c r="K33" i="26"/>
  <c r="E13" i="26"/>
  <c r="E33" i="26"/>
  <c r="F13" i="26"/>
  <c r="F33" i="26"/>
  <c r="G33" i="26"/>
  <c r="AG3" i="26"/>
  <c r="AG32" i="26"/>
  <c r="AH3" i="26"/>
  <c r="AH32" i="26"/>
  <c r="AK32" i="26"/>
  <c r="AJ32" i="26"/>
  <c r="AI32" i="26"/>
  <c r="AE3" i="26"/>
  <c r="AD3" i="26"/>
  <c r="AF3" i="26"/>
  <c r="AF32" i="26"/>
  <c r="AE32" i="26"/>
  <c r="AD32" i="26"/>
  <c r="X3" i="26"/>
  <c r="X32" i="26"/>
  <c r="AC32" i="26"/>
  <c r="W3" i="26"/>
  <c r="W32" i="26"/>
  <c r="AB32" i="26"/>
  <c r="V3" i="26"/>
  <c r="V32" i="26"/>
  <c r="AA32" i="26"/>
  <c r="U3" i="26"/>
  <c r="U32" i="26"/>
  <c r="Z32" i="26"/>
  <c r="T3" i="26"/>
  <c r="T32" i="26"/>
  <c r="Y32" i="26"/>
  <c r="S3" i="26"/>
  <c r="S32" i="26"/>
  <c r="R3" i="26"/>
  <c r="R32" i="26"/>
  <c r="Q3" i="26"/>
  <c r="Q32" i="26"/>
  <c r="P3" i="26"/>
  <c r="P32" i="26"/>
  <c r="O3" i="26"/>
  <c r="O32" i="26"/>
  <c r="H3" i="26"/>
  <c r="H32" i="26"/>
  <c r="I3" i="26"/>
  <c r="I32" i="26"/>
  <c r="J3" i="26"/>
  <c r="J32" i="26"/>
  <c r="N32" i="26"/>
  <c r="M32" i="26"/>
  <c r="L32" i="26"/>
  <c r="K32" i="26"/>
  <c r="E3" i="26"/>
  <c r="E32" i="26"/>
  <c r="F3" i="26"/>
  <c r="F32" i="26"/>
  <c r="G32" i="26"/>
  <c r="AK31" i="26"/>
  <c r="AJ31" i="26"/>
  <c r="AI31" i="26"/>
  <c r="AF31" i="26"/>
  <c r="AE31" i="26"/>
  <c r="AD31" i="26"/>
  <c r="AC31" i="26"/>
  <c r="AB31" i="26"/>
  <c r="AA31" i="26"/>
  <c r="Z31" i="26"/>
  <c r="Y31" i="26"/>
  <c r="S31" i="26"/>
  <c r="R31" i="26"/>
  <c r="Q31" i="26"/>
  <c r="P31" i="26"/>
  <c r="O31" i="26"/>
  <c r="N31" i="26"/>
  <c r="M31" i="26"/>
  <c r="L31" i="26"/>
  <c r="K31" i="26"/>
  <c r="G31" i="26"/>
  <c r="F31" i="26"/>
  <c r="E31" i="26"/>
  <c r="AG27" i="25"/>
  <c r="AG76" i="25"/>
  <c r="AH27" i="25"/>
  <c r="AH76" i="25"/>
  <c r="AK76" i="25"/>
  <c r="AJ76" i="25"/>
  <c r="AI76" i="25"/>
  <c r="AE27" i="25"/>
  <c r="AD27" i="25"/>
  <c r="AF27" i="25"/>
  <c r="AF76" i="25"/>
  <c r="AE76" i="25"/>
  <c r="AD76" i="25"/>
  <c r="X27" i="25"/>
  <c r="X76" i="25"/>
  <c r="AC76" i="25"/>
  <c r="W27" i="25"/>
  <c r="W76" i="25"/>
  <c r="AB76" i="25"/>
  <c r="V27" i="25"/>
  <c r="V76" i="25"/>
  <c r="AA76" i="25"/>
  <c r="U27" i="25"/>
  <c r="U76" i="25"/>
  <c r="Z76" i="25"/>
  <c r="T27" i="25"/>
  <c r="T76" i="25"/>
  <c r="Y76" i="25"/>
  <c r="S27" i="25"/>
  <c r="S76" i="25"/>
  <c r="R27" i="25"/>
  <c r="R76" i="25"/>
  <c r="Q27" i="25"/>
  <c r="Q76" i="25"/>
  <c r="P27" i="25"/>
  <c r="P76" i="25"/>
  <c r="O27" i="25"/>
  <c r="O76" i="25"/>
  <c r="H27" i="25"/>
  <c r="H76" i="25"/>
  <c r="I27" i="25"/>
  <c r="I76" i="25"/>
  <c r="J27" i="25"/>
  <c r="J76" i="25"/>
  <c r="N76" i="25"/>
  <c r="M76" i="25"/>
  <c r="L76" i="25"/>
  <c r="K76" i="25"/>
  <c r="D27" i="25"/>
  <c r="D76" i="25"/>
  <c r="E27" i="25"/>
  <c r="E76" i="25"/>
  <c r="F27" i="25"/>
  <c r="F76" i="25"/>
  <c r="G76" i="25"/>
  <c r="AG18" i="25"/>
  <c r="AG75" i="25"/>
  <c r="AH18" i="25"/>
  <c r="AH75" i="25"/>
  <c r="AK75" i="25"/>
  <c r="AJ75" i="25"/>
  <c r="AI75" i="25"/>
  <c r="AE18" i="25"/>
  <c r="AD18" i="25"/>
  <c r="AF18" i="25"/>
  <c r="AF75" i="25"/>
  <c r="AE75" i="25"/>
  <c r="AD75" i="25"/>
  <c r="X18" i="25"/>
  <c r="X75" i="25"/>
  <c r="AC75" i="25"/>
  <c r="W18" i="25"/>
  <c r="W75" i="25"/>
  <c r="AB75" i="25"/>
  <c r="V18" i="25"/>
  <c r="V75" i="25"/>
  <c r="AA75" i="25"/>
  <c r="U18" i="25"/>
  <c r="U75" i="25"/>
  <c r="Z75" i="25"/>
  <c r="T18" i="25"/>
  <c r="T75" i="25"/>
  <c r="Y75" i="25"/>
  <c r="S18" i="25"/>
  <c r="S75" i="25"/>
  <c r="R18" i="25"/>
  <c r="R75" i="25"/>
  <c r="Q18" i="25"/>
  <c r="Q75" i="25"/>
  <c r="P18" i="25"/>
  <c r="P75" i="25"/>
  <c r="O18" i="25"/>
  <c r="O75" i="25"/>
  <c r="H18" i="25"/>
  <c r="H75" i="25"/>
  <c r="I18" i="25"/>
  <c r="I75" i="25"/>
  <c r="J18" i="25"/>
  <c r="J75" i="25"/>
  <c r="N75" i="25"/>
  <c r="M75" i="25"/>
  <c r="L75" i="25"/>
  <c r="K75" i="25"/>
  <c r="D18" i="25"/>
  <c r="D75" i="25"/>
  <c r="E18" i="25"/>
  <c r="E75" i="25"/>
  <c r="F18" i="25"/>
  <c r="F75" i="25"/>
  <c r="G75" i="25"/>
  <c r="AG12" i="25"/>
  <c r="AG74" i="25"/>
  <c r="AH12" i="25"/>
  <c r="AH74" i="25"/>
  <c r="AK74" i="25"/>
  <c r="AJ74" i="25"/>
  <c r="AI74" i="25"/>
  <c r="AE12" i="25"/>
  <c r="AD12" i="25"/>
  <c r="AF12" i="25"/>
  <c r="AF74" i="25"/>
  <c r="AE74" i="25"/>
  <c r="AD74" i="25"/>
  <c r="X12" i="25"/>
  <c r="X74" i="25"/>
  <c r="AC74" i="25"/>
  <c r="W12" i="25"/>
  <c r="W74" i="25"/>
  <c r="AB74" i="25"/>
  <c r="V12" i="25"/>
  <c r="V74" i="25"/>
  <c r="AA74" i="25"/>
  <c r="U12" i="25"/>
  <c r="U74" i="25"/>
  <c r="Z74" i="25"/>
  <c r="T12" i="25"/>
  <c r="T74" i="25"/>
  <c r="Y74" i="25"/>
  <c r="S12" i="25"/>
  <c r="S74" i="25"/>
  <c r="R12" i="25"/>
  <c r="R74" i="25"/>
  <c r="Q12" i="25"/>
  <c r="Q74" i="25"/>
  <c r="P12" i="25"/>
  <c r="P74" i="25"/>
  <c r="O12" i="25"/>
  <c r="O74" i="25"/>
  <c r="H12" i="25"/>
  <c r="H74" i="25"/>
  <c r="I12" i="25"/>
  <c r="I74" i="25"/>
  <c r="J12" i="25"/>
  <c r="J74" i="25"/>
  <c r="N74" i="25"/>
  <c r="M74" i="25"/>
  <c r="L74" i="25"/>
  <c r="K74" i="25"/>
  <c r="D12" i="25"/>
  <c r="D74" i="25"/>
  <c r="E12" i="25"/>
  <c r="E74" i="25"/>
  <c r="F12" i="25"/>
  <c r="F74" i="25"/>
  <c r="G74" i="25"/>
  <c r="AG7" i="25"/>
  <c r="AG73" i="25"/>
  <c r="AH7" i="25"/>
  <c r="AH73" i="25"/>
  <c r="AK73" i="25"/>
  <c r="AJ73" i="25"/>
  <c r="AI73" i="25"/>
  <c r="AE7" i="25"/>
  <c r="AD7" i="25"/>
  <c r="AF7" i="25"/>
  <c r="AF73" i="25"/>
  <c r="AE73" i="25"/>
  <c r="AD73" i="25"/>
  <c r="X7" i="25"/>
  <c r="X73" i="25"/>
  <c r="AC73" i="25"/>
  <c r="W7" i="25"/>
  <c r="W73" i="25"/>
  <c r="AB73" i="25"/>
  <c r="V7" i="25"/>
  <c r="V73" i="25"/>
  <c r="AA73" i="25"/>
  <c r="U7" i="25"/>
  <c r="U73" i="25"/>
  <c r="Z73" i="25"/>
  <c r="T7" i="25"/>
  <c r="T73" i="25"/>
  <c r="Y73" i="25"/>
  <c r="S7" i="25"/>
  <c r="S73" i="25"/>
  <c r="R7" i="25"/>
  <c r="R73" i="25"/>
  <c r="Q7" i="25"/>
  <c r="Q73" i="25"/>
  <c r="P7" i="25"/>
  <c r="P73" i="25"/>
  <c r="O7" i="25"/>
  <c r="O73" i="25"/>
  <c r="H7" i="25"/>
  <c r="H73" i="25"/>
  <c r="I7" i="25"/>
  <c r="I73" i="25"/>
  <c r="J7" i="25"/>
  <c r="J73" i="25"/>
  <c r="N73" i="25"/>
  <c r="M73" i="25"/>
  <c r="L73" i="25"/>
  <c r="K73" i="25"/>
  <c r="D7" i="25"/>
  <c r="D73" i="25"/>
  <c r="E7" i="25"/>
  <c r="E73" i="25"/>
  <c r="F7" i="25"/>
  <c r="F73" i="25"/>
  <c r="G73" i="25"/>
  <c r="AG16" i="25"/>
  <c r="AG72" i="25"/>
  <c r="AH16" i="25"/>
  <c r="AH72" i="25"/>
  <c r="AK72" i="25"/>
  <c r="AJ72" i="25"/>
  <c r="AI72" i="25"/>
  <c r="AE16" i="25"/>
  <c r="AD16" i="25"/>
  <c r="AF16" i="25"/>
  <c r="AF72" i="25"/>
  <c r="AE72" i="25"/>
  <c r="AD72" i="25"/>
  <c r="X16" i="25"/>
  <c r="X72" i="25"/>
  <c r="AC72" i="25"/>
  <c r="W16" i="25"/>
  <c r="W72" i="25"/>
  <c r="AB72" i="25"/>
  <c r="V16" i="25"/>
  <c r="V72" i="25"/>
  <c r="AA72" i="25"/>
  <c r="U16" i="25"/>
  <c r="U72" i="25"/>
  <c r="Z72" i="25"/>
  <c r="T16" i="25"/>
  <c r="T72" i="25"/>
  <c r="Y72" i="25"/>
  <c r="S16" i="25"/>
  <c r="S72" i="25"/>
  <c r="R16" i="25"/>
  <c r="R72" i="25"/>
  <c r="Q16" i="25"/>
  <c r="Q72" i="25"/>
  <c r="P16" i="25"/>
  <c r="P72" i="25"/>
  <c r="O16" i="25"/>
  <c r="O72" i="25"/>
  <c r="H16" i="25"/>
  <c r="H72" i="25"/>
  <c r="I16" i="25"/>
  <c r="I72" i="25"/>
  <c r="J16" i="25"/>
  <c r="J72" i="25"/>
  <c r="N72" i="25"/>
  <c r="M72" i="25"/>
  <c r="L72" i="25"/>
  <c r="K72" i="25"/>
  <c r="D16" i="25"/>
  <c r="D72" i="25"/>
  <c r="E16" i="25"/>
  <c r="E72" i="25"/>
  <c r="F16" i="25"/>
  <c r="F72" i="25"/>
  <c r="G72" i="25"/>
  <c r="AG29" i="25"/>
  <c r="AG71" i="25"/>
  <c r="AH29" i="25"/>
  <c r="AH71" i="25"/>
  <c r="AK71" i="25"/>
  <c r="AJ71" i="25"/>
  <c r="AI71" i="25"/>
  <c r="AE29" i="25"/>
  <c r="AD29" i="25"/>
  <c r="AF29" i="25"/>
  <c r="AF71" i="25"/>
  <c r="AE71" i="25"/>
  <c r="AD71" i="25"/>
  <c r="X29" i="25"/>
  <c r="X71" i="25"/>
  <c r="AC71" i="25"/>
  <c r="W29" i="25"/>
  <c r="W71" i="25"/>
  <c r="AB71" i="25"/>
  <c r="V29" i="25"/>
  <c r="V71" i="25"/>
  <c r="AA71" i="25"/>
  <c r="U29" i="25"/>
  <c r="U71" i="25"/>
  <c r="Z71" i="25"/>
  <c r="T29" i="25"/>
  <c r="T71" i="25"/>
  <c r="Y71" i="25"/>
  <c r="S29" i="25"/>
  <c r="S71" i="25"/>
  <c r="R29" i="25"/>
  <c r="R71" i="25"/>
  <c r="Q29" i="25"/>
  <c r="Q71" i="25"/>
  <c r="P29" i="25"/>
  <c r="P71" i="25"/>
  <c r="O29" i="25"/>
  <c r="O71" i="25"/>
  <c r="H29" i="25"/>
  <c r="H71" i="25"/>
  <c r="I29" i="25"/>
  <c r="I71" i="25"/>
  <c r="J29" i="25"/>
  <c r="J71" i="25"/>
  <c r="N71" i="25"/>
  <c r="M71" i="25"/>
  <c r="L71" i="25"/>
  <c r="K71" i="25"/>
  <c r="D29" i="25"/>
  <c r="D71" i="25"/>
  <c r="E29" i="25"/>
  <c r="E71" i="25"/>
  <c r="F29" i="25"/>
  <c r="F71" i="25"/>
  <c r="G71" i="25"/>
  <c r="AG20" i="25"/>
  <c r="AG70" i="25"/>
  <c r="AH20" i="25"/>
  <c r="AH70" i="25"/>
  <c r="AK70" i="25"/>
  <c r="AJ70" i="25"/>
  <c r="AI70" i="25"/>
  <c r="AE20" i="25"/>
  <c r="AD20" i="25"/>
  <c r="AF20" i="25"/>
  <c r="AF70" i="25"/>
  <c r="AE70" i="25"/>
  <c r="AD70" i="25"/>
  <c r="X20" i="25"/>
  <c r="X70" i="25"/>
  <c r="AC70" i="25"/>
  <c r="W20" i="25"/>
  <c r="W70" i="25"/>
  <c r="AB70" i="25"/>
  <c r="V20" i="25"/>
  <c r="V70" i="25"/>
  <c r="AA70" i="25"/>
  <c r="U20" i="25"/>
  <c r="U70" i="25"/>
  <c r="Z70" i="25"/>
  <c r="T20" i="25"/>
  <c r="T70" i="25"/>
  <c r="Y70" i="25"/>
  <c r="S20" i="25"/>
  <c r="S70" i="25"/>
  <c r="R20" i="25"/>
  <c r="R70" i="25"/>
  <c r="Q20" i="25"/>
  <c r="Q70" i="25"/>
  <c r="P20" i="25"/>
  <c r="P70" i="25"/>
  <c r="O20" i="25"/>
  <c r="O70" i="25"/>
  <c r="H20" i="25"/>
  <c r="H70" i="25"/>
  <c r="I20" i="25"/>
  <c r="I70" i="25"/>
  <c r="J20" i="25"/>
  <c r="J70" i="25"/>
  <c r="N70" i="25"/>
  <c r="M70" i="25"/>
  <c r="L70" i="25"/>
  <c r="K70" i="25"/>
  <c r="D20" i="25"/>
  <c r="D70" i="25"/>
  <c r="E20" i="25"/>
  <c r="E70" i="25"/>
  <c r="F20" i="25"/>
  <c r="F70" i="25"/>
  <c r="G70" i="25"/>
  <c r="AG24" i="25"/>
  <c r="AG69" i="25"/>
  <c r="AH24" i="25"/>
  <c r="AH69" i="25"/>
  <c r="AK69" i="25"/>
  <c r="AJ69" i="25"/>
  <c r="AI69" i="25"/>
  <c r="AE24" i="25"/>
  <c r="AD24" i="25"/>
  <c r="AF24" i="25"/>
  <c r="AF69" i="25"/>
  <c r="AE69" i="25"/>
  <c r="AD69" i="25"/>
  <c r="X24" i="25"/>
  <c r="X69" i="25"/>
  <c r="AC69" i="25"/>
  <c r="W24" i="25"/>
  <c r="W69" i="25"/>
  <c r="AB69" i="25"/>
  <c r="V24" i="25"/>
  <c r="V69" i="25"/>
  <c r="AA69" i="25"/>
  <c r="U24" i="25"/>
  <c r="U69" i="25"/>
  <c r="Z69" i="25"/>
  <c r="T24" i="25"/>
  <c r="T69" i="25"/>
  <c r="Y69" i="25"/>
  <c r="S24" i="25"/>
  <c r="S69" i="25"/>
  <c r="R24" i="25"/>
  <c r="R69" i="25"/>
  <c r="Q24" i="25"/>
  <c r="Q69" i="25"/>
  <c r="P24" i="25"/>
  <c r="P69" i="25"/>
  <c r="O24" i="25"/>
  <c r="O69" i="25"/>
  <c r="H24" i="25"/>
  <c r="H69" i="25"/>
  <c r="I24" i="25"/>
  <c r="I69" i="25"/>
  <c r="J24" i="25"/>
  <c r="J69" i="25"/>
  <c r="N69" i="25"/>
  <c r="M69" i="25"/>
  <c r="L69" i="25"/>
  <c r="K69" i="25"/>
  <c r="D24" i="25"/>
  <c r="D69" i="25"/>
  <c r="E24" i="25"/>
  <c r="E69" i="25"/>
  <c r="F24" i="25"/>
  <c r="F69" i="25"/>
  <c r="G69" i="25"/>
  <c r="AG9" i="25"/>
  <c r="AG68" i="25"/>
  <c r="AH9" i="25"/>
  <c r="AH68" i="25"/>
  <c r="AK68" i="25"/>
  <c r="AJ68" i="25"/>
  <c r="AI68" i="25"/>
  <c r="AE9" i="25"/>
  <c r="AD9" i="25"/>
  <c r="AF9" i="25"/>
  <c r="AF68" i="25"/>
  <c r="AE68" i="25"/>
  <c r="AD68" i="25"/>
  <c r="X9" i="25"/>
  <c r="X68" i="25"/>
  <c r="AC68" i="25"/>
  <c r="W9" i="25"/>
  <c r="W68" i="25"/>
  <c r="AB68" i="25"/>
  <c r="V9" i="25"/>
  <c r="V68" i="25"/>
  <c r="AA68" i="25"/>
  <c r="U9" i="25"/>
  <c r="U68" i="25"/>
  <c r="Z68" i="25"/>
  <c r="T9" i="25"/>
  <c r="T68" i="25"/>
  <c r="Y68" i="25"/>
  <c r="S9" i="25"/>
  <c r="S68" i="25"/>
  <c r="R9" i="25"/>
  <c r="R68" i="25"/>
  <c r="Q9" i="25"/>
  <c r="Q68" i="25"/>
  <c r="P9" i="25"/>
  <c r="P68" i="25"/>
  <c r="O9" i="25"/>
  <c r="O68" i="25"/>
  <c r="H9" i="25"/>
  <c r="H68" i="25"/>
  <c r="I9" i="25"/>
  <c r="I68" i="25"/>
  <c r="J9" i="25"/>
  <c r="J68" i="25"/>
  <c r="N68" i="25"/>
  <c r="M68" i="25"/>
  <c r="L68" i="25"/>
  <c r="K68" i="25"/>
  <c r="D9" i="25"/>
  <c r="D68" i="25"/>
  <c r="E9" i="25"/>
  <c r="E68" i="25"/>
  <c r="F9" i="25"/>
  <c r="F68" i="25"/>
  <c r="G68" i="25"/>
  <c r="AG5" i="25"/>
  <c r="AG67" i="25"/>
  <c r="AH5" i="25"/>
  <c r="AH67" i="25"/>
  <c r="AK67" i="25"/>
  <c r="AJ67" i="25"/>
  <c r="AI67" i="25"/>
  <c r="AE5" i="25"/>
  <c r="AD5" i="25"/>
  <c r="AF5" i="25"/>
  <c r="AF67" i="25"/>
  <c r="AE67" i="25"/>
  <c r="AD67" i="25"/>
  <c r="X5" i="25"/>
  <c r="X67" i="25"/>
  <c r="AC67" i="25"/>
  <c r="W5" i="25"/>
  <c r="W67" i="25"/>
  <c r="AB67" i="25"/>
  <c r="V5" i="25"/>
  <c r="V67" i="25"/>
  <c r="AA67" i="25"/>
  <c r="U5" i="25"/>
  <c r="U67" i="25"/>
  <c r="Z67" i="25"/>
  <c r="T5" i="25"/>
  <c r="T67" i="25"/>
  <c r="Y67" i="25"/>
  <c r="S5" i="25"/>
  <c r="S67" i="25"/>
  <c r="R5" i="25"/>
  <c r="R67" i="25"/>
  <c r="Q5" i="25"/>
  <c r="Q67" i="25"/>
  <c r="P5" i="25"/>
  <c r="P67" i="25"/>
  <c r="O5" i="25"/>
  <c r="O67" i="25"/>
  <c r="H5" i="25"/>
  <c r="H67" i="25"/>
  <c r="I5" i="25"/>
  <c r="I67" i="25"/>
  <c r="J5" i="25"/>
  <c r="J67" i="25"/>
  <c r="N67" i="25"/>
  <c r="M67" i="25"/>
  <c r="L67" i="25"/>
  <c r="K67" i="25"/>
  <c r="D5" i="25"/>
  <c r="D67" i="25"/>
  <c r="E5" i="25"/>
  <c r="E67" i="25"/>
  <c r="F5" i="25"/>
  <c r="F67" i="25"/>
  <c r="G67" i="25"/>
  <c r="AG17" i="25"/>
  <c r="AG66" i="25"/>
  <c r="AH17" i="25"/>
  <c r="AH66" i="25"/>
  <c r="AK66" i="25"/>
  <c r="AJ66" i="25"/>
  <c r="AI66" i="25"/>
  <c r="AE17" i="25"/>
  <c r="AD17" i="25"/>
  <c r="AF17" i="25"/>
  <c r="AF66" i="25"/>
  <c r="AE66" i="25"/>
  <c r="AD66" i="25"/>
  <c r="X17" i="25"/>
  <c r="X66" i="25"/>
  <c r="AC66" i="25"/>
  <c r="W17" i="25"/>
  <c r="W66" i="25"/>
  <c r="AB66" i="25"/>
  <c r="V17" i="25"/>
  <c r="V66" i="25"/>
  <c r="AA66" i="25"/>
  <c r="U17" i="25"/>
  <c r="U66" i="25"/>
  <c r="Z66" i="25"/>
  <c r="T17" i="25"/>
  <c r="T66" i="25"/>
  <c r="Y66" i="25"/>
  <c r="S17" i="25"/>
  <c r="S66" i="25"/>
  <c r="R17" i="25"/>
  <c r="R66" i="25"/>
  <c r="Q17" i="25"/>
  <c r="Q66" i="25"/>
  <c r="P17" i="25"/>
  <c r="P66" i="25"/>
  <c r="O17" i="25"/>
  <c r="O66" i="25"/>
  <c r="H17" i="25"/>
  <c r="H66" i="25"/>
  <c r="I17" i="25"/>
  <c r="I66" i="25"/>
  <c r="J17" i="25"/>
  <c r="J66" i="25"/>
  <c r="N66" i="25"/>
  <c r="M66" i="25"/>
  <c r="L66" i="25"/>
  <c r="K66" i="25"/>
  <c r="D17" i="25"/>
  <c r="D66" i="25"/>
  <c r="E17" i="25"/>
  <c r="E66" i="25"/>
  <c r="F17" i="25"/>
  <c r="F66" i="25"/>
  <c r="G66" i="25"/>
  <c r="AG21" i="25"/>
  <c r="AG65" i="25"/>
  <c r="AH21" i="25"/>
  <c r="AH65" i="25"/>
  <c r="AK65" i="25"/>
  <c r="AJ65" i="25"/>
  <c r="AI65" i="25"/>
  <c r="AE21" i="25"/>
  <c r="AD21" i="25"/>
  <c r="AF21" i="25"/>
  <c r="AF65" i="25"/>
  <c r="AE65" i="25"/>
  <c r="AD65" i="25"/>
  <c r="X21" i="25"/>
  <c r="X65" i="25"/>
  <c r="AC65" i="25"/>
  <c r="W21" i="25"/>
  <c r="W65" i="25"/>
  <c r="AB65" i="25"/>
  <c r="V21" i="25"/>
  <c r="V65" i="25"/>
  <c r="AA65" i="25"/>
  <c r="U21" i="25"/>
  <c r="U65" i="25"/>
  <c r="Z65" i="25"/>
  <c r="T21" i="25"/>
  <c r="T65" i="25"/>
  <c r="Y65" i="25"/>
  <c r="S21" i="25"/>
  <c r="S65" i="25"/>
  <c r="R21" i="25"/>
  <c r="R65" i="25"/>
  <c r="Q21" i="25"/>
  <c r="Q65" i="25"/>
  <c r="P21" i="25"/>
  <c r="P65" i="25"/>
  <c r="O21" i="25"/>
  <c r="O65" i="25"/>
  <c r="H21" i="25"/>
  <c r="H65" i="25"/>
  <c r="I21" i="25"/>
  <c r="I65" i="25"/>
  <c r="J21" i="25"/>
  <c r="J65" i="25"/>
  <c r="N65" i="25"/>
  <c r="M65" i="25"/>
  <c r="L65" i="25"/>
  <c r="K65" i="25"/>
  <c r="D21" i="25"/>
  <c r="D65" i="25"/>
  <c r="E21" i="25"/>
  <c r="E65" i="25"/>
  <c r="F21" i="25"/>
  <c r="F65" i="25"/>
  <c r="G65" i="25"/>
  <c r="AG25" i="25"/>
  <c r="AG64" i="25"/>
  <c r="AH25" i="25"/>
  <c r="AH64" i="25"/>
  <c r="AK64" i="25"/>
  <c r="AJ64" i="25"/>
  <c r="AI64" i="25"/>
  <c r="AE25" i="25"/>
  <c r="AD25" i="25"/>
  <c r="AF25" i="25"/>
  <c r="AF64" i="25"/>
  <c r="AE64" i="25"/>
  <c r="AD64" i="25"/>
  <c r="X25" i="25"/>
  <c r="X64" i="25"/>
  <c r="AC64" i="25"/>
  <c r="W25" i="25"/>
  <c r="W64" i="25"/>
  <c r="AB64" i="25"/>
  <c r="V25" i="25"/>
  <c r="V64" i="25"/>
  <c r="AA64" i="25"/>
  <c r="U25" i="25"/>
  <c r="U64" i="25"/>
  <c r="Z64" i="25"/>
  <c r="T25" i="25"/>
  <c r="T64" i="25"/>
  <c r="Y64" i="25"/>
  <c r="S25" i="25"/>
  <c r="S64" i="25"/>
  <c r="R25" i="25"/>
  <c r="R64" i="25"/>
  <c r="Q25" i="25"/>
  <c r="Q64" i="25"/>
  <c r="P25" i="25"/>
  <c r="P64" i="25"/>
  <c r="O25" i="25"/>
  <c r="O64" i="25"/>
  <c r="H25" i="25"/>
  <c r="H64" i="25"/>
  <c r="I25" i="25"/>
  <c r="I64" i="25"/>
  <c r="J25" i="25"/>
  <c r="J64" i="25"/>
  <c r="N64" i="25"/>
  <c r="M64" i="25"/>
  <c r="L64" i="25"/>
  <c r="K64" i="25"/>
  <c r="D25" i="25"/>
  <c r="D64" i="25"/>
  <c r="E25" i="25"/>
  <c r="E64" i="25"/>
  <c r="F25" i="25"/>
  <c r="F64" i="25"/>
  <c r="G64" i="25"/>
  <c r="AK63" i="25"/>
  <c r="AJ63" i="25"/>
  <c r="AI63" i="25"/>
  <c r="AF63" i="25"/>
  <c r="AE63" i="25"/>
  <c r="AD63" i="25"/>
  <c r="AC63" i="25"/>
  <c r="AB63" i="25"/>
  <c r="AA63" i="25"/>
  <c r="Z63" i="25"/>
  <c r="Y63" i="25"/>
  <c r="S63" i="25"/>
  <c r="R63" i="25"/>
  <c r="Q63" i="25"/>
  <c r="P63" i="25"/>
  <c r="O63" i="25"/>
  <c r="N63" i="25"/>
  <c r="M63" i="25"/>
  <c r="L63" i="25"/>
  <c r="K63" i="25"/>
  <c r="G63" i="25"/>
  <c r="F63" i="25"/>
  <c r="E63" i="25"/>
  <c r="D63" i="25"/>
  <c r="AG62" i="25"/>
  <c r="AH62" i="25"/>
  <c r="AK62" i="25"/>
  <c r="AJ62" i="25"/>
  <c r="AI62" i="25"/>
  <c r="AF62" i="25"/>
  <c r="AE62" i="25"/>
  <c r="AD62" i="25"/>
  <c r="X62" i="25"/>
  <c r="AC62" i="25"/>
  <c r="W62" i="25"/>
  <c r="AB62" i="25"/>
  <c r="V62" i="25"/>
  <c r="AA62" i="25"/>
  <c r="U62" i="25"/>
  <c r="Z62" i="25"/>
  <c r="T62" i="25"/>
  <c r="Y62" i="25"/>
  <c r="S62" i="25"/>
  <c r="R62" i="25"/>
  <c r="Q62" i="25"/>
  <c r="P62" i="25"/>
  <c r="O62" i="25"/>
  <c r="H62" i="25"/>
  <c r="I62" i="25"/>
  <c r="J62" i="25"/>
  <c r="N62" i="25"/>
  <c r="M62" i="25"/>
  <c r="L62" i="25"/>
  <c r="K62" i="25"/>
  <c r="D62" i="25"/>
  <c r="E62" i="25"/>
  <c r="F62" i="25"/>
  <c r="G62" i="25"/>
  <c r="AG61" i="25"/>
  <c r="AH61" i="25"/>
  <c r="AK61" i="25"/>
  <c r="AJ61" i="25"/>
  <c r="AI61" i="25"/>
  <c r="AF61" i="25"/>
  <c r="AE61" i="25"/>
  <c r="AD61" i="25"/>
  <c r="X61" i="25"/>
  <c r="AC61" i="25"/>
  <c r="W61" i="25"/>
  <c r="AB61" i="25"/>
  <c r="V61" i="25"/>
  <c r="AA61" i="25"/>
  <c r="U61" i="25"/>
  <c r="Z61" i="25"/>
  <c r="T61" i="25"/>
  <c r="Y61" i="25"/>
  <c r="S61" i="25"/>
  <c r="R61" i="25"/>
  <c r="Q61" i="25"/>
  <c r="P61" i="25"/>
  <c r="O61" i="25"/>
  <c r="H61" i="25"/>
  <c r="I61" i="25"/>
  <c r="J61" i="25"/>
  <c r="N61" i="25"/>
  <c r="M61" i="25"/>
  <c r="L61" i="25"/>
  <c r="K61" i="25"/>
  <c r="D61" i="25"/>
  <c r="E61" i="25"/>
  <c r="F61" i="25"/>
  <c r="G61" i="25"/>
  <c r="AG60" i="25"/>
  <c r="AH60" i="25"/>
  <c r="AK60" i="25"/>
  <c r="AJ60" i="25"/>
  <c r="AI60" i="25"/>
  <c r="AF60" i="25"/>
  <c r="AE60" i="25"/>
  <c r="AD60" i="25"/>
  <c r="X60" i="25"/>
  <c r="AC60" i="25"/>
  <c r="W60" i="25"/>
  <c r="AB60" i="25"/>
  <c r="V60" i="25"/>
  <c r="AA60" i="25"/>
  <c r="U60" i="25"/>
  <c r="Z60" i="25"/>
  <c r="T60" i="25"/>
  <c r="Y60" i="25"/>
  <c r="S60" i="25"/>
  <c r="R60" i="25"/>
  <c r="Q60" i="25"/>
  <c r="P60" i="25"/>
  <c r="O60" i="25"/>
  <c r="H60" i="25"/>
  <c r="I60" i="25"/>
  <c r="J60" i="25"/>
  <c r="N60" i="25"/>
  <c r="M60" i="25"/>
  <c r="L60" i="25"/>
  <c r="K60" i="25"/>
  <c r="D60" i="25"/>
  <c r="E60" i="25"/>
  <c r="F60" i="25"/>
  <c r="G60" i="25"/>
  <c r="AG59" i="25"/>
  <c r="AH59" i="25"/>
  <c r="AK59" i="25"/>
  <c r="AJ59" i="25"/>
  <c r="AI59" i="25"/>
  <c r="AF59" i="25"/>
  <c r="AE59" i="25"/>
  <c r="AD59" i="25"/>
  <c r="X59" i="25"/>
  <c r="AC59" i="25"/>
  <c r="W59" i="25"/>
  <c r="AB59" i="25"/>
  <c r="V59" i="25"/>
  <c r="AA59" i="25"/>
  <c r="U59" i="25"/>
  <c r="Z59" i="25"/>
  <c r="T59" i="25"/>
  <c r="Y59" i="25"/>
  <c r="S59" i="25"/>
  <c r="R59" i="25"/>
  <c r="Q59" i="25"/>
  <c r="P59" i="25"/>
  <c r="O59" i="25"/>
  <c r="H59" i="25"/>
  <c r="I59" i="25"/>
  <c r="J59" i="25"/>
  <c r="N59" i="25"/>
  <c r="M59" i="25"/>
  <c r="L59" i="25"/>
  <c r="K59" i="25"/>
  <c r="D59" i="25"/>
  <c r="E59" i="25"/>
  <c r="F59" i="25"/>
  <c r="G59" i="25"/>
  <c r="AG58" i="25"/>
  <c r="AH58" i="25"/>
  <c r="AK58" i="25"/>
  <c r="AJ58" i="25"/>
  <c r="AI58" i="25"/>
  <c r="AF58" i="25"/>
  <c r="AE58" i="25"/>
  <c r="AD58" i="25"/>
  <c r="X58" i="25"/>
  <c r="AC58" i="25"/>
  <c r="W58" i="25"/>
  <c r="AB58" i="25"/>
  <c r="V58" i="25"/>
  <c r="AA58" i="25"/>
  <c r="U58" i="25"/>
  <c r="Z58" i="25"/>
  <c r="T58" i="25"/>
  <c r="Y58" i="25"/>
  <c r="S58" i="25"/>
  <c r="R58" i="25"/>
  <c r="Q58" i="25"/>
  <c r="P58" i="25"/>
  <c r="O58" i="25"/>
  <c r="H58" i="25"/>
  <c r="I58" i="25"/>
  <c r="J58" i="25"/>
  <c r="N58" i="25"/>
  <c r="M58" i="25"/>
  <c r="L58" i="25"/>
  <c r="K58" i="25"/>
  <c r="D58" i="25"/>
  <c r="E58" i="25"/>
  <c r="F58" i="25"/>
  <c r="G58" i="25"/>
  <c r="AG57" i="25"/>
  <c r="AH57" i="25"/>
  <c r="AK57" i="25"/>
  <c r="AJ57" i="25"/>
  <c r="AI57" i="25"/>
  <c r="AF57" i="25"/>
  <c r="AE57" i="25"/>
  <c r="AD57" i="25"/>
  <c r="X57" i="25"/>
  <c r="AC57" i="25"/>
  <c r="W57" i="25"/>
  <c r="AB57" i="25"/>
  <c r="V57" i="25"/>
  <c r="AA57" i="25"/>
  <c r="U57" i="25"/>
  <c r="Z57" i="25"/>
  <c r="T57" i="25"/>
  <c r="Y57" i="25"/>
  <c r="S57" i="25"/>
  <c r="R57" i="25"/>
  <c r="Q57" i="25"/>
  <c r="P57" i="25"/>
  <c r="O57" i="25"/>
  <c r="H57" i="25"/>
  <c r="I57" i="25"/>
  <c r="J57" i="25"/>
  <c r="N57" i="25"/>
  <c r="M57" i="25"/>
  <c r="L57" i="25"/>
  <c r="K57" i="25"/>
  <c r="D57" i="25"/>
  <c r="E57" i="25"/>
  <c r="F57" i="25"/>
  <c r="G57" i="25"/>
  <c r="AG56" i="25"/>
  <c r="AH56" i="25"/>
  <c r="AK56" i="25"/>
  <c r="AJ56" i="25"/>
  <c r="AI56" i="25"/>
  <c r="AF56" i="25"/>
  <c r="AE56" i="25"/>
  <c r="AD56" i="25"/>
  <c r="X56" i="25"/>
  <c r="AC56" i="25"/>
  <c r="W56" i="25"/>
  <c r="AB56" i="25"/>
  <c r="V56" i="25"/>
  <c r="AA56" i="25"/>
  <c r="U56" i="25"/>
  <c r="Z56" i="25"/>
  <c r="T56" i="25"/>
  <c r="Y56" i="25"/>
  <c r="S56" i="25"/>
  <c r="R56" i="25"/>
  <c r="Q56" i="25"/>
  <c r="P56" i="25"/>
  <c r="O56" i="25"/>
  <c r="H56" i="25"/>
  <c r="I56" i="25"/>
  <c r="J56" i="25"/>
  <c r="N56" i="25"/>
  <c r="M56" i="25"/>
  <c r="L56" i="25"/>
  <c r="K56" i="25"/>
  <c r="D56" i="25"/>
  <c r="E56" i="25"/>
  <c r="F56" i="25"/>
  <c r="G56" i="25"/>
  <c r="AG55" i="25"/>
  <c r="AH55" i="25"/>
  <c r="AK55" i="25"/>
  <c r="AJ55" i="25"/>
  <c r="AI55" i="25"/>
  <c r="AF55" i="25"/>
  <c r="AE55" i="25"/>
  <c r="AD55" i="25"/>
  <c r="X55" i="25"/>
  <c r="AC55" i="25"/>
  <c r="W55" i="25"/>
  <c r="AB55" i="25"/>
  <c r="V55" i="25"/>
  <c r="AA55" i="25"/>
  <c r="U55" i="25"/>
  <c r="Z55" i="25"/>
  <c r="T55" i="25"/>
  <c r="Y55" i="25"/>
  <c r="S55" i="25"/>
  <c r="R55" i="25"/>
  <c r="Q55" i="25"/>
  <c r="P55" i="25"/>
  <c r="O55" i="25"/>
  <c r="H55" i="25"/>
  <c r="I55" i="25"/>
  <c r="J55" i="25"/>
  <c r="N55" i="25"/>
  <c r="M55" i="25"/>
  <c r="L55" i="25"/>
  <c r="K55" i="25"/>
  <c r="D55" i="25"/>
  <c r="E55" i="25"/>
  <c r="F55" i="25"/>
  <c r="G55" i="25"/>
  <c r="AG54" i="25"/>
  <c r="AH54" i="25"/>
  <c r="AK54" i="25"/>
  <c r="AJ54" i="25"/>
  <c r="AI54" i="25"/>
  <c r="AF54" i="25"/>
  <c r="AE54" i="25"/>
  <c r="AD54" i="25"/>
  <c r="X54" i="25"/>
  <c r="AC54" i="25"/>
  <c r="W54" i="25"/>
  <c r="AB54" i="25"/>
  <c r="V54" i="25"/>
  <c r="AA54" i="25"/>
  <c r="U54" i="25"/>
  <c r="Z54" i="25"/>
  <c r="T54" i="25"/>
  <c r="Y54" i="25"/>
  <c r="S54" i="25"/>
  <c r="R54" i="25"/>
  <c r="Q54" i="25"/>
  <c r="P54" i="25"/>
  <c r="O54" i="25"/>
  <c r="H54" i="25"/>
  <c r="I54" i="25"/>
  <c r="J54" i="25"/>
  <c r="N54" i="25"/>
  <c r="M54" i="25"/>
  <c r="L54" i="25"/>
  <c r="K54" i="25"/>
  <c r="D54" i="25"/>
  <c r="E54" i="25"/>
  <c r="F54" i="25"/>
  <c r="G54" i="25"/>
  <c r="AG53" i="25"/>
  <c r="AH53" i="25"/>
  <c r="AK53" i="25"/>
  <c r="AJ53" i="25"/>
  <c r="AI53" i="25"/>
  <c r="AF53" i="25"/>
  <c r="AE53" i="25"/>
  <c r="AD53" i="25"/>
  <c r="X53" i="25"/>
  <c r="AC53" i="25"/>
  <c r="W53" i="25"/>
  <c r="AB53" i="25"/>
  <c r="V53" i="25"/>
  <c r="AA53" i="25"/>
  <c r="U53" i="25"/>
  <c r="Z53" i="25"/>
  <c r="T53" i="25"/>
  <c r="Y53" i="25"/>
  <c r="S53" i="25"/>
  <c r="R53" i="25"/>
  <c r="Q53" i="25"/>
  <c r="P53" i="25"/>
  <c r="O53" i="25"/>
  <c r="H53" i="25"/>
  <c r="I53" i="25"/>
  <c r="J53" i="25"/>
  <c r="N53" i="25"/>
  <c r="M53" i="25"/>
  <c r="L53" i="25"/>
  <c r="K53" i="25"/>
  <c r="D53" i="25"/>
  <c r="E53" i="25"/>
  <c r="F53" i="25"/>
  <c r="G53" i="25"/>
  <c r="AG52" i="25"/>
  <c r="AH52" i="25"/>
  <c r="AK52" i="25"/>
  <c r="AJ52" i="25"/>
  <c r="AI52" i="25"/>
  <c r="AF52" i="25"/>
  <c r="AE52" i="25"/>
  <c r="AD52" i="25"/>
  <c r="X52" i="25"/>
  <c r="AC52" i="25"/>
  <c r="W52" i="25"/>
  <c r="AB52" i="25"/>
  <c r="V52" i="25"/>
  <c r="AA52" i="25"/>
  <c r="U52" i="25"/>
  <c r="Z52" i="25"/>
  <c r="T52" i="25"/>
  <c r="Y52" i="25"/>
  <c r="S52" i="25"/>
  <c r="R52" i="25"/>
  <c r="Q52" i="25"/>
  <c r="P52" i="25"/>
  <c r="O52" i="25"/>
  <c r="H52" i="25"/>
  <c r="I52" i="25"/>
  <c r="J52" i="25"/>
  <c r="N52" i="25"/>
  <c r="M52" i="25"/>
  <c r="L52" i="25"/>
  <c r="K52" i="25"/>
  <c r="D52" i="25"/>
  <c r="E52" i="25"/>
  <c r="F52" i="25"/>
  <c r="G52" i="25"/>
  <c r="AG51" i="25"/>
  <c r="AH51" i="25"/>
  <c r="AK51" i="25"/>
  <c r="AJ51" i="25"/>
  <c r="AI51" i="25"/>
  <c r="AF51" i="25"/>
  <c r="AE51" i="25"/>
  <c r="AD51" i="25"/>
  <c r="X51" i="25"/>
  <c r="AC51" i="25"/>
  <c r="W51" i="25"/>
  <c r="AB51" i="25"/>
  <c r="V51" i="25"/>
  <c r="AA51" i="25"/>
  <c r="U51" i="25"/>
  <c r="Z51" i="25"/>
  <c r="T51" i="25"/>
  <c r="Y51" i="25"/>
  <c r="S51" i="25"/>
  <c r="R51" i="25"/>
  <c r="Q51" i="25"/>
  <c r="P51" i="25"/>
  <c r="O51" i="25"/>
  <c r="H51" i="25"/>
  <c r="I51" i="25"/>
  <c r="J51" i="25"/>
  <c r="N51" i="25"/>
  <c r="M51" i="25"/>
  <c r="L51" i="25"/>
  <c r="K51" i="25"/>
  <c r="D51" i="25"/>
  <c r="E51" i="25"/>
  <c r="F51" i="25"/>
  <c r="G51" i="25"/>
  <c r="AG50" i="25"/>
  <c r="AH50" i="25"/>
  <c r="AK50" i="25"/>
  <c r="AJ50" i="25"/>
  <c r="AI50" i="25"/>
  <c r="AF50" i="25"/>
  <c r="AE50" i="25"/>
  <c r="AD50" i="25"/>
  <c r="X50" i="25"/>
  <c r="AC50" i="25"/>
  <c r="W50" i="25"/>
  <c r="AB50" i="25"/>
  <c r="V50" i="25"/>
  <c r="AA50" i="25"/>
  <c r="U50" i="25"/>
  <c r="Z50" i="25"/>
  <c r="T50" i="25"/>
  <c r="Y50" i="25"/>
  <c r="S50" i="25"/>
  <c r="R50" i="25"/>
  <c r="Q50" i="25"/>
  <c r="P50" i="25"/>
  <c r="O50" i="25"/>
  <c r="H50" i="25"/>
  <c r="I50" i="25"/>
  <c r="J50" i="25"/>
  <c r="N50" i="25"/>
  <c r="M50" i="25"/>
  <c r="L50" i="25"/>
  <c r="K50" i="25"/>
  <c r="D50" i="25"/>
  <c r="E50" i="25"/>
  <c r="F50" i="25"/>
  <c r="G50" i="25"/>
  <c r="AG23" i="25"/>
  <c r="AG49" i="25"/>
  <c r="AH23" i="25"/>
  <c r="AH49" i="25"/>
  <c r="AK49" i="25"/>
  <c r="AJ49" i="25"/>
  <c r="AI49" i="25"/>
  <c r="AE23" i="25"/>
  <c r="AD23" i="25"/>
  <c r="AF23" i="25"/>
  <c r="AF49" i="25"/>
  <c r="AE49" i="25"/>
  <c r="AD49" i="25"/>
  <c r="X23" i="25"/>
  <c r="X49" i="25"/>
  <c r="AC49" i="25"/>
  <c r="W23" i="25"/>
  <c r="W49" i="25"/>
  <c r="AB49" i="25"/>
  <c r="V23" i="25"/>
  <c r="V49" i="25"/>
  <c r="AA49" i="25"/>
  <c r="U23" i="25"/>
  <c r="U49" i="25"/>
  <c r="Z49" i="25"/>
  <c r="T23" i="25"/>
  <c r="T49" i="25"/>
  <c r="Y49" i="25"/>
  <c r="S23" i="25"/>
  <c r="S49" i="25"/>
  <c r="R23" i="25"/>
  <c r="R49" i="25"/>
  <c r="Q23" i="25"/>
  <c r="Q49" i="25"/>
  <c r="P23" i="25"/>
  <c r="P49" i="25"/>
  <c r="O23" i="25"/>
  <c r="O49" i="25"/>
  <c r="H23" i="25"/>
  <c r="H49" i="25"/>
  <c r="I23" i="25"/>
  <c r="I49" i="25"/>
  <c r="J23" i="25"/>
  <c r="J49" i="25"/>
  <c r="N49" i="25"/>
  <c r="M49" i="25"/>
  <c r="L49" i="25"/>
  <c r="K49" i="25"/>
  <c r="D23" i="25"/>
  <c r="D49" i="25"/>
  <c r="E23" i="25"/>
  <c r="E49" i="25"/>
  <c r="F23" i="25"/>
  <c r="F49" i="25"/>
  <c r="G49" i="25"/>
  <c r="AK48" i="25"/>
  <c r="AJ48" i="25"/>
  <c r="AI48" i="25"/>
  <c r="AF48" i="25"/>
  <c r="AE48" i="25"/>
  <c r="AD48" i="25"/>
  <c r="AC48" i="25"/>
  <c r="AB48" i="25"/>
  <c r="AA48" i="25"/>
  <c r="Z48" i="25"/>
  <c r="Y48" i="25"/>
  <c r="S48" i="25"/>
  <c r="R48" i="25"/>
  <c r="Q48" i="25"/>
  <c r="P48" i="25"/>
  <c r="O48" i="25"/>
  <c r="N48" i="25"/>
  <c r="M48" i="25"/>
  <c r="L48" i="25"/>
  <c r="K48" i="25"/>
  <c r="G48" i="25"/>
  <c r="F48" i="25"/>
  <c r="E48" i="25"/>
  <c r="D48" i="25"/>
  <c r="AG6" i="25"/>
  <c r="AG47" i="25"/>
  <c r="AH6" i="25"/>
  <c r="AH47" i="25"/>
  <c r="AK47" i="25"/>
  <c r="AJ47" i="25"/>
  <c r="AI47" i="25"/>
  <c r="AE6" i="25"/>
  <c r="AD6" i="25"/>
  <c r="AF6" i="25"/>
  <c r="AF47" i="25"/>
  <c r="AE47" i="25"/>
  <c r="AD47" i="25"/>
  <c r="X6" i="25"/>
  <c r="X47" i="25"/>
  <c r="AC47" i="25"/>
  <c r="W6" i="25"/>
  <c r="W47" i="25"/>
  <c r="AB47" i="25"/>
  <c r="V6" i="25"/>
  <c r="V47" i="25"/>
  <c r="AA47" i="25"/>
  <c r="U6" i="25"/>
  <c r="U47" i="25"/>
  <c r="Z47" i="25"/>
  <c r="T6" i="25"/>
  <c r="T47" i="25"/>
  <c r="Y47" i="25"/>
  <c r="S6" i="25"/>
  <c r="S47" i="25"/>
  <c r="R6" i="25"/>
  <c r="R47" i="25"/>
  <c r="Q6" i="25"/>
  <c r="Q47" i="25"/>
  <c r="P6" i="25"/>
  <c r="P47" i="25"/>
  <c r="O6" i="25"/>
  <c r="O47" i="25"/>
  <c r="H6" i="25"/>
  <c r="H47" i="25"/>
  <c r="I6" i="25"/>
  <c r="I47" i="25"/>
  <c r="J6" i="25"/>
  <c r="J47" i="25"/>
  <c r="N47" i="25"/>
  <c r="M47" i="25"/>
  <c r="L47" i="25"/>
  <c r="K47" i="25"/>
  <c r="D6" i="25"/>
  <c r="D47" i="25"/>
  <c r="E6" i="25"/>
  <c r="E47" i="25"/>
  <c r="F6" i="25"/>
  <c r="F47" i="25"/>
  <c r="G47" i="25"/>
  <c r="AG10" i="25"/>
  <c r="AG46" i="25"/>
  <c r="AH10" i="25"/>
  <c r="AH46" i="25"/>
  <c r="AK46" i="25"/>
  <c r="AJ46" i="25"/>
  <c r="AI46" i="25"/>
  <c r="AE10" i="25"/>
  <c r="AD10" i="25"/>
  <c r="AF10" i="25"/>
  <c r="AF46" i="25"/>
  <c r="AE46" i="25"/>
  <c r="AD46" i="25"/>
  <c r="X10" i="25"/>
  <c r="X46" i="25"/>
  <c r="AC46" i="25"/>
  <c r="W10" i="25"/>
  <c r="W46" i="25"/>
  <c r="AB46" i="25"/>
  <c r="V10" i="25"/>
  <c r="V46" i="25"/>
  <c r="AA46" i="25"/>
  <c r="U10" i="25"/>
  <c r="U46" i="25"/>
  <c r="Z46" i="25"/>
  <c r="T10" i="25"/>
  <c r="T46" i="25"/>
  <c r="Y46" i="25"/>
  <c r="S10" i="25"/>
  <c r="S46" i="25"/>
  <c r="R10" i="25"/>
  <c r="R46" i="25"/>
  <c r="Q10" i="25"/>
  <c r="Q46" i="25"/>
  <c r="P10" i="25"/>
  <c r="P46" i="25"/>
  <c r="O10" i="25"/>
  <c r="O46" i="25"/>
  <c r="H10" i="25"/>
  <c r="H46" i="25"/>
  <c r="I10" i="25"/>
  <c r="I46" i="25"/>
  <c r="J10" i="25"/>
  <c r="J46" i="25"/>
  <c r="N46" i="25"/>
  <c r="M46" i="25"/>
  <c r="L46" i="25"/>
  <c r="K46" i="25"/>
  <c r="D10" i="25"/>
  <c r="D46" i="25"/>
  <c r="E10" i="25"/>
  <c r="E46" i="25"/>
  <c r="F10" i="25"/>
  <c r="F46" i="25"/>
  <c r="G46" i="25"/>
  <c r="AK45" i="25"/>
  <c r="AJ45" i="25"/>
  <c r="AI45" i="25"/>
  <c r="AF45" i="25"/>
  <c r="AE45" i="25"/>
  <c r="AD45" i="25"/>
  <c r="AC45" i="25"/>
  <c r="AB45" i="25"/>
  <c r="AA45" i="25"/>
  <c r="Z45" i="25"/>
  <c r="Y45" i="25"/>
  <c r="S45" i="25"/>
  <c r="R45" i="25"/>
  <c r="Q45" i="25"/>
  <c r="P45" i="25"/>
  <c r="O45" i="25"/>
  <c r="N45" i="25"/>
  <c r="M45" i="25"/>
  <c r="L45" i="25"/>
  <c r="K45" i="25"/>
  <c r="G45" i="25"/>
  <c r="F45" i="25"/>
  <c r="E45" i="25"/>
  <c r="D45" i="25"/>
  <c r="AG15" i="25"/>
  <c r="AG44" i="25"/>
  <c r="AH15" i="25"/>
  <c r="AH44" i="25"/>
  <c r="AK44" i="25"/>
  <c r="AJ44" i="25"/>
  <c r="AI44" i="25"/>
  <c r="AE15" i="25"/>
  <c r="AD15" i="25"/>
  <c r="AF15" i="25"/>
  <c r="AF44" i="25"/>
  <c r="AE44" i="25"/>
  <c r="AD44" i="25"/>
  <c r="X15" i="25"/>
  <c r="X44" i="25"/>
  <c r="AC44" i="25"/>
  <c r="W15" i="25"/>
  <c r="W44" i="25"/>
  <c r="AB44" i="25"/>
  <c r="V15" i="25"/>
  <c r="V44" i="25"/>
  <c r="AA44" i="25"/>
  <c r="U15" i="25"/>
  <c r="U44" i="25"/>
  <c r="Z44" i="25"/>
  <c r="T15" i="25"/>
  <c r="T44" i="25"/>
  <c r="Y44" i="25"/>
  <c r="S15" i="25"/>
  <c r="S44" i="25"/>
  <c r="R15" i="25"/>
  <c r="R44" i="25"/>
  <c r="Q15" i="25"/>
  <c r="Q44" i="25"/>
  <c r="P15" i="25"/>
  <c r="P44" i="25"/>
  <c r="O15" i="25"/>
  <c r="O44" i="25"/>
  <c r="H15" i="25"/>
  <c r="H44" i="25"/>
  <c r="I15" i="25"/>
  <c r="I44" i="25"/>
  <c r="J15" i="25"/>
  <c r="J44" i="25"/>
  <c r="N44" i="25"/>
  <c r="M44" i="25"/>
  <c r="L44" i="25"/>
  <c r="K44" i="25"/>
  <c r="D15" i="25"/>
  <c r="D44" i="25"/>
  <c r="E15" i="25"/>
  <c r="E44" i="25"/>
  <c r="F15" i="25"/>
  <c r="F44" i="25"/>
  <c r="G44" i="25"/>
  <c r="AG28" i="25"/>
  <c r="AG43" i="25"/>
  <c r="AH28" i="25"/>
  <c r="AH43" i="25"/>
  <c r="AK43" i="25"/>
  <c r="AJ43" i="25"/>
  <c r="AI43" i="25"/>
  <c r="AE28" i="25"/>
  <c r="AD28" i="25"/>
  <c r="AF28" i="25"/>
  <c r="AF43" i="25"/>
  <c r="AE43" i="25"/>
  <c r="AD43" i="25"/>
  <c r="X28" i="25"/>
  <c r="X43" i="25"/>
  <c r="AC43" i="25"/>
  <c r="W28" i="25"/>
  <c r="W43" i="25"/>
  <c r="AB43" i="25"/>
  <c r="V28" i="25"/>
  <c r="V43" i="25"/>
  <c r="AA43" i="25"/>
  <c r="U28" i="25"/>
  <c r="U43" i="25"/>
  <c r="Z43" i="25"/>
  <c r="T28" i="25"/>
  <c r="T43" i="25"/>
  <c r="Y43" i="25"/>
  <c r="S28" i="25"/>
  <c r="S43" i="25"/>
  <c r="R28" i="25"/>
  <c r="R43" i="25"/>
  <c r="Q28" i="25"/>
  <c r="Q43" i="25"/>
  <c r="P28" i="25"/>
  <c r="P43" i="25"/>
  <c r="O28" i="25"/>
  <c r="O43" i="25"/>
  <c r="H28" i="25"/>
  <c r="H43" i="25"/>
  <c r="I28" i="25"/>
  <c r="I43" i="25"/>
  <c r="J28" i="25"/>
  <c r="J43" i="25"/>
  <c r="N43" i="25"/>
  <c r="M43" i="25"/>
  <c r="L43" i="25"/>
  <c r="K43" i="25"/>
  <c r="D28" i="25"/>
  <c r="D43" i="25"/>
  <c r="E28" i="25"/>
  <c r="E43" i="25"/>
  <c r="F28" i="25"/>
  <c r="F43" i="25"/>
  <c r="G43" i="25"/>
  <c r="AG19" i="25"/>
  <c r="AG42" i="25"/>
  <c r="AH19" i="25"/>
  <c r="AH42" i="25"/>
  <c r="AK42" i="25"/>
  <c r="AJ42" i="25"/>
  <c r="AI42" i="25"/>
  <c r="AE19" i="25"/>
  <c r="AD19" i="25"/>
  <c r="AF19" i="25"/>
  <c r="AF42" i="25"/>
  <c r="AE42" i="25"/>
  <c r="AD42" i="25"/>
  <c r="X19" i="25"/>
  <c r="X42" i="25"/>
  <c r="AC42" i="25"/>
  <c r="W19" i="25"/>
  <c r="W42" i="25"/>
  <c r="AB42" i="25"/>
  <c r="V19" i="25"/>
  <c r="V42" i="25"/>
  <c r="AA42" i="25"/>
  <c r="U19" i="25"/>
  <c r="U42" i="25"/>
  <c r="Z42" i="25"/>
  <c r="T19" i="25"/>
  <c r="T42" i="25"/>
  <c r="Y42" i="25"/>
  <c r="S19" i="25"/>
  <c r="S42" i="25"/>
  <c r="R19" i="25"/>
  <c r="R42" i="25"/>
  <c r="Q19" i="25"/>
  <c r="Q42" i="25"/>
  <c r="P19" i="25"/>
  <c r="P42" i="25"/>
  <c r="O19" i="25"/>
  <c r="O42" i="25"/>
  <c r="H19" i="25"/>
  <c r="H42" i="25"/>
  <c r="I19" i="25"/>
  <c r="I42" i="25"/>
  <c r="J19" i="25"/>
  <c r="J42" i="25"/>
  <c r="N42" i="25"/>
  <c r="M42" i="25"/>
  <c r="L42" i="25"/>
  <c r="K42" i="25"/>
  <c r="D19" i="25"/>
  <c r="D42" i="25"/>
  <c r="E19" i="25"/>
  <c r="E42" i="25"/>
  <c r="F19" i="25"/>
  <c r="F42" i="25"/>
  <c r="G42" i="25"/>
  <c r="AG8" i="25"/>
  <c r="AG41" i="25"/>
  <c r="AH8" i="25"/>
  <c r="AH41" i="25"/>
  <c r="AK41" i="25"/>
  <c r="AJ41" i="25"/>
  <c r="AI41" i="25"/>
  <c r="AE8" i="25"/>
  <c r="AD8" i="25"/>
  <c r="AF8" i="25"/>
  <c r="AF41" i="25"/>
  <c r="AE41" i="25"/>
  <c r="AD41" i="25"/>
  <c r="X8" i="25"/>
  <c r="X41" i="25"/>
  <c r="AC41" i="25"/>
  <c r="W8" i="25"/>
  <c r="W41" i="25"/>
  <c r="AB41" i="25"/>
  <c r="V8" i="25"/>
  <c r="V41" i="25"/>
  <c r="AA41" i="25"/>
  <c r="U8" i="25"/>
  <c r="U41" i="25"/>
  <c r="Z41" i="25"/>
  <c r="T8" i="25"/>
  <c r="T41" i="25"/>
  <c r="Y41" i="25"/>
  <c r="S8" i="25"/>
  <c r="S41" i="25"/>
  <c r="R8" i="25"/>
  <c r="R41" i="25"/>
  <c r="Q8" i="25"/>
  <c r="Q41" i="25"/>
  <c r="P8" i="25"/>
  <c r="P41" i="25"/>
  <c r="O8" i="25"/>
  <c r="O41" i="25"/>
  <c r="H8" i="25"/>
  <c r="H41" i="25"/>
  <c r="I8" i="25"/>
  <c r="I41" i="25"/>
  <c r="J8" i="25"/>
  <c r="J41" i="25"/>
  <c r="N41" i="25"/>
  <c r="M41" i="25"/>
  <c r="L41" i="25"/>
  <c r="K41" i="25"/>
  <c r="D8" i="25"/>
  <c r="D41" i="25"/>
  <c r="E8" i="25"/>
  <c r="E41" i="25"/>
  <c r="F8" i="25"/>
  <c r="F41" i="25"/>
  <c r="G41" i="25"/>
  <c r="AG4" i="25"/>
  <c r="AG40" i="25"/>
  <c r="AH4" i="25"/>
  <c r="AH40" i="25"/>
  <c r="AK40" i="25"/>
  <c r="AJ40" i="25"/>
  <c r="AI40" i="25"/>
  <c r="AE4" i="25"/>
  <c r="AD4" i="25"/>
  <c r="AF4" i="25"/>
  <c r="AF40" i="25"/>
  <c r="AE40" i="25"/>
  <c r="AD40" i="25"/>
  <c r="X4" i="25"/>
  <c r="X40" i="25"/>
  <c r="AC40" i="25"/>
  <c r="W4" i="25"/>
  <c r="W40" i="25"/>
  <c r="AB40" i="25"/>
  <c r="V4" i="25"/>
  <c r="V40" i="25"/>
  <c r="AA40" i="25"/>
  <c r="U4" i="25"/>
  <c r="U40" i="25"/>
  <c r="Z40" i="25"/>
  <c r="T4" i="25"/>
  <c r="T40" i="25"/>
  <c r="Y40" i="25"/>
  <c r="S4" i="25"/>
  <c r="S40" i="25"/>
  <c r="R4" i="25"/>
  <c r="R40" i="25"/>
  <c r="Q4" i="25"/>
  <c r="Q40" i="25"/>
  <c r="P4" i="25"/>
  <c r="P40" i="25"/>
  <c r="O4" i="25"/>
  <c r="O40" i="25"/>
  <c r="H4" i="25"/>
  <c r="H40" i="25"/>
  <c r="I4" i="25"/>
  <c r="I40" i="25"/>
  <c r="J4" i="25"/>
  <c r="J40" i="25"/>
  <c r="N40" i="25"/>
  <c r="M40" i="25"/>
  <c r="L40" i="25"/>
  <c r="K40" i="25"/>
  <c r="D4" i="25"/>
  <c r="D40" i="25"/>
  <c r="E4" i="25"/>
  <c r="E40" i="25"/>
  <c r="F4" i="25"/>
  <c r="F40" i="25"/>
  <c r="G40" i="25"/>
  <c r="AG11" i="25"/>
  <c r="AG39" i="25"/>
  <c r="AH11" i="25"/>
  <c r="AH39" i="25"/>
  <c r="AK39" i="25"/>
  <c r="AJ39" i="25"/>
  <c r="AI39" i="25"/>
  <c r="AE11" i="25"/>
  <c r="AD11" i="25"/>
  <c r="AF11" i="25"/>
  <c r="AF39" i="25"/>
  <c r="AE39" i="25"/>
  <c r="AD39" i="25"/>
  <c r="X11" i="25"/>
  <c r="X39" i="25"/>
  <c r="AC39" i="25"/>
  <c r="W11" i="25"/>
  <c r="W39" i="25"/>
  <c r="AB39" i="25"/>
  <c r="V11" i="25"/>
  <c r="V39" i="25"/>
  <c r="AA39" i="25"/>
  <c r="U11" i="25"/>
  <c r="U39" i="25"/>
  <c r="Z39" i="25"/>
  <c r="T11" i="25"/>
  <c r="T39" i="25"/>
  <c r="Y39" i="25"/>
  <c r="S11" i="25"/>
  <c r="S39" i="25"/>
  <c r="R11" i="25"/>
  <c r="R39" i="25"/>
  <c r="Q11" i="25"/>
  <c r="Q39" i="25"/>
  <c r="P11" i="25"/>
  <c r="P39" i="25"/>
  <c r="O11" i="25"/>
  <c r="O39" i="25"/>
  <c r="H11" i="25"/>
  <c r="H39" i="25"/>
  <c r="I11" i="25"/>
  <c r="I39" i="25"/>
  <c r="J11" i="25"/>
  <c r="J39" i="25"/>
  <c r="N39" i="25"/>
  <c r="M39" i="25"/>
  <c r="L39" i="25"/>
  <c r="K39" i="25"/>
  <c r="D11" i="25"/>
  <c r="D39" i="25"/>
  <c r="E11" i="25"/>
  <c r="E39" i="25"/>
  <c r="F11" i="25"/>
  <c r="F39" i="25"/>
  <c r="G39" i="25"/>
  <c r="AG2" i="25"/>
  <c r="AG38" i="25"/>
  <c r="AH2" i="25"/>
  <c r="AH38" i="25"/>
  <c r="AK38" i="25"/>
  <c r="AJ38" i="25"/>
  <c r="AI38" i="25"/>
  <c r="AE2" i="25"/>
  <c r="AD2" i="25"/>
  <c r="AF2" i="25"/>
  <c r="AF38" i="25"/>
  <c r="AE38" i="25"/>
  <c r="AD38" i="25"/>
  <c r="X2" i="25"/>
  <c r="X38" i="25"/>
  <c r="AC38" i="25"/>
  <c r="W2" i="25"/>
  <c r="W38" i="25"/>
  <c r="AB38" i="25"/>
  <c r="V2" i="25"/>
  <c r="V38" i="25"/>
  <c r="AA38" i="25"/>
  <c r="U2" i="25"/>
  <c r="U38" i="25"/>
  <c r="Z38" i="25"/>
  <c r="T2" i="25"/>
  <c r="T38" i="25"/>
  <c r="Y38" i="25"/>
  <c r="S2" i="25"/>
  <c r="S38" i="25"/>
  <c r="R2" i="25"/>
  <c r="R38" i="25"/>
  <c r="Q2" i="25"/>
  <c r="Q38" i="25"/>
  <c r="P2" i="25"/>
  <c r="P38" i="25"/>
  <c r="O2" i="25"/>
  <c r="O38" i="25"/>
  <c r="H2" i="25"/>
  <c r="H38" i="25"/>
  <c r="I2" i="25"/>
  <c r="I38" i="25"/>
  <c r="J2" i="25"/>
  <c r="J38" i="25"/>
  <c r="N38" i="25"/>
  <c r="M38" i="25"/>
  <c r="L38" i="25"/>
  <c r="K38" i="25"/>
  <c r="D2" i="25"/>
  <c r="D38" i="25"/>
  <c r="E2" i="25"/>
  <c r="E38" i="25"/>
  <c r="F2" i="25"/>
  <c r="F38" i="25"/>
  <c r="G38" i="25"/>
  <c r="AG22" i="25"/>
  <c r="AG37" i="25"/>
  <c r="AH22" i="25"/>
  <c r="AH37" i="25"/>
  <c r="AK37" i="25"/>
  <c r="AJ37" i="25"/>
  <c r="AI37" i="25"/>
  <c r="AE22" i="25"/>
  <c r="AD22" i="25"/>
  <c r="AF22" i="25"/>
  <c r="AF37" i="25"/>
  <c r="AE37" i="25"/>
  <c r="AD37" i="25"/>
  <c r="X22" i="25"/>
  <c r="X37" i="25"/>
  <c r="AC37" i="25"/>
  <c r="W22" i="25"/>
  <c r="W37" i="25"/>
  <c r="AB37" i="25"/>
  <c r="V22" i="25"/>
  <c r="V37" i="25"/>
  <c r="AA37" i="25"/>
  <c r="U22" i="25"/>
  <c r="U37" i="25"/>
  <c r="Z37" i="25"/>
  <c r="T22" i="25"/>
  <c r="T37" i="25"/>
  <c r="Y37" i="25"/>
  <c r="S22" i="25"/>
  <c r="S37" i="25"/>
  <c r="R22" i="25"/>
  <c r="R37" i="25"/>
  <c r="Q22" i="25"/>
  <c r="Q37" i="25"/>
  <c r="P22" i="25"/>
  <c r="P37" i="25"/>
  <c r="O22" i="25"/>
  <c r="O37" i="25"/>
  <c r="H22" i="25"/>
  <c r="H37" i="25"/>
  <c r="I22" i="25"/>
  <c r="I37" i="25"/>
  <c r="J22" i="25"/>
  <c r="J37" i="25"/>
  <c r="N37" i="25"/>
  <c r="M37" i="25"/>
  <c r="L37" i="25"/>
  <c r="K37" i="25"/>
  <c r="D22" i="25"/>
  <c r="D37" i="25"/>
  <c r="E22" i="25"/>
  <c r="E37" i="25"/>
  <c r="F22" i="25"/>
  <c r="F37" i="25"/>
  <c r="G37" i="25"/>
  <c r="AG26" i="25"/>
  <c r="AG36" i="25"/>
  <c r="AH26" i="25"/>
  <c r="AH36" i="25"/>
  <c r="AK36" i="25"/>
  <c r="AJ36" i="25"/>
  <c r="AI36" i="25"/>
  <c r="AE26" i="25"/>
  <c r="AD26" i="25"/>
  <c r="AF26" i="25"/>
  <c r="AF36" i="25"/>
  <c r="AE36" i="25"/>
  <c r="AD36" i="25"/>
  <c r="X26" i="25"/>
  <c r="X36" i="25"/>
  <c r="AC36" i="25"/>
  <c r="W26" i="25"/>
  <c r="W36" i="25"/>
  <c r="AB36" i="25"/>
  <c r="V26" i="25"/>
  <c r="V36" i="25"/>
  <c r="AA36" i="25"/>
  <c r="U26" i="25"/>
  <c r="U36" i="25"/>
  <c r="Z36" i="25"/>
  <c r="T26" i="25"/>
  <c r="T36" i="25"/>
  <c r="Y36" i="25"/>
  <c r="S26" i="25"/>
  <c r="S36" i="25"/>
  <c r="R26" i="25"/>
  <c r="R36" i="25"/>
  <c r="Q26" i="25"/>
  <c r="Q36" i="25"/>
  <c r="P26" i="25"/>
  <c r="P36" i="25"/>
  <c r="O26" i="25"/>
  <c r="O36" i="25"/>
  <c r="H26" i="25"/>
  <c r="H36" i="25"/>
  <c r="I26" i="25"/>
  <c r="I36" i="25"/>
  <c r="J26" i="25"/>
  <c r="J36" i="25"/>
  <c r="N36" i="25"/>
  <c r="M36" i="25"/>
  <c r="L36" i="25"/>
  <c r="K36" i="25"/>
  <c r="D26" i="25"/>
  <c r="D36" i="25"/>
  <c r="E26" i="25"/>
  <c r="E36" i="25"/>
  <c r="F26" i="25"/>
  <c r="F36" i="25"/>
  <c r="G36" i="25"/>
  <c r="AG30" i="25"/>
  <c r="AG35" i="25"/>
  <c r="AH30" i="25"/>
  <c r="AH35" i="25"/>
  <c r="AK35" i="25"/>
  <c r="AJ35" i="25"/>
  <c r="AI35" i="25"/>
  <c r="AE30" i="25"/>
  <c r="AD30" i="25"/>
  <c r="AF30" i="25"/>
  <c r="AF35" i="25"/>
  <c r="AE35" i="25"/>
  <c r="AD35" i="25"/>
  <c r="X30" i="25"/>
  <c r="X35" i="25"/>
  <c r="AC35" i="25"/>
  <c r="W30" i="25"/>
  <c r="W35" i="25"/>
  <c r="AB35" i="25"/>
  <c r="V30" i="25"/>
  <c r="V35" i="25"/>
  <c r="AA35" i="25"/>
  <c r="U30" i="25"/>
  <c r="U35" i="25"/>
  <c r="Z35" i="25"/>
  <c r="T30" i="25"/>
  <c r="T35" i="25"/>
  <c r="Y35" i="25"/>
  <c r="S30" i="25"/>
  <c r="S35" i="25"/>
  <c r="R30" i="25"/>
  <c r="R35" i="25"/>
  <c r="Q30" i="25"/>
  <c r="Q35" i="25"/>
  <c r="P30" i="25"/>
  <c r="P35" i="25"/>
  <c r="O30" i="25"/>
  <c r="O35" i="25"/>
  <c r="H30" i="25"/>
  <c r="H35" i="25"/>
  <c r="I30" i="25"/>
  <c r="I35" i="25"/>
  <c r="J30" i="25"/>
  <c r="J35" i="25"/>
  <c r="N35" i="25"/>
  <c r="M35" i="25"/>
  <c r="L35" i="25"/>
  <c r="K35" i="25"/>
  <c r="D30" i="25"/>
  <c r="D35" i="25"/>
  <c r="E30" i="25"/>
  <c r="E35" i="25"/>
  <c r="F30" i="25"/>
  <c r="F35" i="25"/>
  <c r="G35" i="25"/>
  <c r="AG14" i="25"/>
  <c r="AG34" i="25"/>
  <c r="AH14" i="25"/>
  <c r="AH34" i="25"/>
  <c r="AK34" i="25"/>
  <c r="AJ34" i="25"/>
  <c r="AI34" i="25"/>
  <c r="AE14" i="25"/>
  <c r="AD14" i="25"/>
  <c r="AF14" i="25"/>
  <c r="AF34" i="25"/>
  <c r="AE34" i="25"/>
  <c r="AD34" i="25"/>
  <c r="X14" i="25"/>
  <c r="X34" i="25"/>
  <c r="AC34" i="25"/>
  <c r="W14" i="25"/>
  <c r="W34" i="25"/>
  <c r="AB34" i="25"/>
  <c r="V14" i="25"/>
  <c r="V34" i="25"/>
  <c r="AA34" i="25"/>
  <c r="U14" i="25"/>
  <c r="U34" i="25"/>
  <c r="Z34" i="25"/>
  <c r="T14" i="25"/>
  <c r="T34" i="25"/>
  <c r="Y34" i="25"/>
  <c r="S14" i="25"/>
  <c r="S34" i="25"/>
  <c r="R14" i="25"/>
  <c r="R34" i="25"/>
  <c r="Q14" i="25"/>
  <c r="Q34" i="25"/>
  <c r="P14" i="25"/>
  <c r="P34" i="25"/>
  <c r="O14" i="25"/>
  <c r="O34" i="25"/>
  <c r="H14" i="25"/>
  <c r="H34" i="25"/>
  <c r="I14" i="25"/>
  <c r="I34" i="25"/>
  <c r="J14" i="25"/>
  <c r="J34" i="25"/>
  <c r="N34" i="25"/>
  <c r="M34" i="25"/>
  <c r="L34" i="25"/>
  <c r="K34" i="25"/>
  <c r="D14" i="25"/>
  <c r="D34" i="25"/>
  <c r="E14" i="25"/>
  <c r="E34" i="25"/>
  <c r="F14" i="25"/>
  <c r="F34" i="25"/>
  <c r="G34" i="25"/>
  <c r="AG13" i="25"/>
  <c r="AG33" i="25"/>
  <c r="AH13" i="25"/>
  <c r="AH33" i="25"/>
  <c r="AK33" i="25"/>
  <c r="AJ33" i="25"/>
  <c r="AI33" i="25"/>
  <c r="AE13" i="25"/>
  <c r="AD13" i="25"/>
  <c r="AF13" i="25"/>
  <c r="AF33" i="25"/>
  <c r="AE33" i="25"/>
  <c r="AD33" i="25"/>
  <c r="X13" i="25"/>
  <c r="X33" i="25"/>
  <c r="AC33" i="25"/>
  <c r="W13" i="25"/>
  <c r="W33" i="25"/>
  <c r="AB33" i="25"/>
  <c r="V13" i="25"/>
  <c r="V33" i="25"/>
  <c r="AA33" i="25"/>
  <c r="U13" i="25"/>
  <c r="U33" i="25"/>
  <c r="Z33" i="25"/>
  <c r="T13" i="25"/>
  <c r="T33" i="25"/>
  <c r="Y33" i="25"/>
  <c r="S13" i="25"/>
  <c r="S33" i="25"/>
  <c r="R13" i="25"/>
  <c r="R33" i="25"/>
  <c r="Q13" i="25"/>
  <c r="Q33" i="25"/>
  <c r="P13" i="25"/>
  <c r="P33" i="25"/>
  <c r="O13" i="25"/>
  <c r="O33" i="25"/>
  <c r="H13" i="25"/>
  <c r="H33" i="25"/>
  <c r="I13" i="25"/>
  <c r="I33" i="25"/>
  <c r="J13" i="25"/>
  <c r="J33" i="25"/>
  <c r="N33" i="25"/>
  <c r="M33" i="25"/>
  <c r="L33" i="25"/>
  <c r="K33" i="25"/>
  <c r="D13" i="25"/>
  <c r="D33" i="25"/>
  <c r="E13" i="25"/>
  <c r="E33" i="25"/>
  <c r="F13" i="25"/>
  <c r="F33" i="25"/>
  <c r="G33" i="25"/>
  <c r="AG3" i="25"/>
  <c r="AG32" i="25"/>
  <c r="AH3" i="25"/>
  <c r="AH32" i="25"/>
  <c r="AK32" i="25"/>
  <c r="AJ32" i="25"/>
  <c r="AI32" i="25"/>
  <c r="AE3" i="25"/>
  <c r="AD3" i="25"/>
  <c r="AF3" i="25"/>
  <c r="AF32" i="25"/>
  <c r="AE32" i="25"/>
  <c r="AD32" i="25"/>
  <c r="X3" i="25"/>
  <c r="X32" i="25"/>
  <c r="AC32" i="25"/>
  <c r="W3" i="25"/>
  <c r="W32" i="25"/>
  <c r="AB32" i="25"/>
  <c r="V3" i="25"/>
  <c r="V32" i="25"/>
  <c r="AA32" i="25"/>
  <c r="U3" i="25"/>
  <c r="U32" i="25"/>
  <c r="Z32" i="25"/>
  <c r="T3" i="25"/>
  <c r="T32" i="25"/>
  <c r="Y32" i="25"/>
  <c r="S3" i="25"/>
  <c r="S32" i="25"/>
  <c r="R3" i="25"/>
  <c r="R32" i="25"/>
  <c r="Q3" i="25"/>
  <c r="Q32" i="25"/>
  <c r="P3" i="25"/>
  <c r="P32" i="25"/>
  <c r="O3" i="25"/>
  <c r="O32" i="25"/>
  <c r="H3" i="25"/>
  <c r="H32" i="25"/>
  <c r="I3" i="25"/>
  <c r="I32" i="25"/>
  <c r="J3" i="25"/>
  <c r="J32" i="25"/>
  <c r="N32" i="25"/>
  <c r="M32" i="25"/>
  <c r="L32" i="25"/>
  <c r="K32" i="25"/>
  <c r="D3" i="25"/>
  <c r="D32" i="25"/>
  <c r="E3" i="25"/>
  <c r="E32" i="25"/>
  <c r="F3" i="25"/>
  <c r="F32" i="25"/>
  <c r="G32" i="25"/>
  <c r="AK31" i="25"/>
  <c r="AJ31" i="25"/>
  <c r="AI31" i="25"/>
  <c r="AF31" i="25"/>
  <c r="AE31" i="25"/>
  <c r="AD31" i="25"/>
  <c r="AC31" i="25"/>
  <c r="AB31" i="25"/>
  <c r="AA31" i="25"/>
  <c r="Z31" i="25"/>
  <c r="Y31" i="25"/>
  <c r="S31" i="25"/>
  <c r="R31" i="25"/>
  <c r="Q31" i="25"/>
  <c r="P31" i="25"/>
  <c r="O31" i="25"/>
  <c r="N31" i="25"/>
  <c r="M31" i="25"/>
  <c r="L31" i="25"/>
  <c r="K31" i="25"/>
  <c r="G31" i="25"/>
  <c r="F31" i="25"/>
  <c r="E31" i="25"/>
  <c r="D31" i="25"/>
  <c r="AF27" i="24"/>
  <c r="AE27" i="24"/>
  <c r="AG27" i="24"/>
  <c r="AG76" i="24"/>
  <c r="AF76" i="24"/>
  <c r="AE76" i="24"/>
  <c r="AF18" i="24"/>
  <c r="AE18" i="24"/>
  <c r="AG18" i="24"/>
  <c r="AG75" i="24"/>
  <c r="AF75" i="24"/>
  <c r="AE75" i="24"/>
  <c r="AF12" i="24"/>
  <c r="AE12" i="24"/>
  <c r="AG12" i="24"/>
  <c r="AG74" i="24"/>
  <c r="AF74" i="24"/>
  <c r="AE74" i="24"/>
  <c r="AF7" i="24"/>
  <c r="AE7" i="24"/>
  <c r="AG7" i="24"/>
  <c r="AG73" i="24"/>
  <c r="AF73" i="24"/>
  <c r="AE73" i="24"/>
  <c r="AF16" i="24"/>
  <c r="AE16" i="24"/>
  <c r="AG16" i="24"/>
  <c r="AG72" i="24"/>
  <c r="AF72" i="24"/>
  <c r="AE72" i="24"/>
  <c r="AF29" i="24"/>
  <c r="AE29" i="24"/>
  <c r="AG29" i="24"/>
  <c r="AG71" i="24"/>
  <c r="AF71" i="24"/>
  <c r="AE71" i="24"/>
  <c r="AF20" i="24"/>
  <c r="AE20" i="24"/>
  <c r="AG20" i="24"/>
  <c r="AG70" i="24"/>
  <c r="AF70" i="24"/>
  <c r="AE70" i="24"/>
  <c r="AF24" i="24"/>
  <c r="AE24" i="24"/>
  <c r="AG24" i="24"/>
  <c r="AG69" i="24"/>
  <c r="AF69" i="24"/>
  <c r="AE69" i="24"/>
  <c r="AF9" i="24"/>
  <c r="AE9" i="24"/>
  <c r="AG9" i="24"/>
  <c r="AG68" i="24"/>
  <c r="AF68" i="24"/>
  <c r="AE68" i="24"/>
  <c r="AF5" i="24"/>
  <c r="AE5" i="24"/>
  <c r="AG5" i="24"/>
  <c r="AG67" i="24"/>
  <c r="AF67" i="24"/>
  <c r="AE67" i="24"/>
  <c r="AF17" i="24"/>
  <c r="AE17" i="24"/>
  <c r="AG17" i="24"/>
  <c r="AG66" i="24"/>
  <c r="AF66" i="24"/>
  <c r="AE66" i="24"/>
  <c r="AF21" i="24"/>
  <c r="AE21" i="24"/>
  <c r="AG21" i="24"/>
  <c r="AG65" i="24"/>
  <c r="AF65" i="24"/>
  <c r="AE65" i="24"/>
  <c r="AF25" i="24"/>
  <c r="AE25" i="24"/>
  <c r="AG25" i="24"/>
  <c r="AG64" i="24"/>
  <c r="AF64" i="24"/>
  <c r="AE64" i="24"/>
  <c r="AG63" i="24"/>
  <c r="AF63" i="24"/>
  <c r="AE63" i="24"/>
  <c r="AG62" i="24"/>
  <c r="AF62" i="24"/>
  <c r="AE62" i="24"/>
  <c r="AG61" i="24"/>
  <c r="AF61" i="24"/>
  <c r="AE61" i="24"/>
  <c r="AG60" i="24"/>
  <c r="AF60" i="24"/>
  <c r="AE60" i="24"/>
  <c r="AG59" i="24"/>
  <c r="AF59" i="24"/>
  <c r="AE59" i="24"/>
  <c r="AG58" i="24"/>
  <c r="AF58" i="24"/>
  <c r="AE58" i="24"/>
  <c r="AG57" i="24"/>
  <c r="AF57" i="24"/>
  <c r="AE57" i="24"/>
  <c r="AG56" i="24"/>
  <c r="AF56" i="24"/>
  <c r="AE56" i="24"/>
  <c r="AG55" i="24"/>
  <c r="AF55" i="24"/>
  <c r="AE55" i="24"/>
  <c r="AG54" i="24"/>
  <c r="AF54" i="24"/>
  <c r="AE54" i="24"/>
  <c r="AG53" i="24"/>
  <c r="AF53" i="24"/>
  <c r="AE53" i="24"/>
  <c r="AG52" i="24"/>
  <c r="AF52" i="24"/>
  <c r="AE52" i="24"/>
  <c r="AG51" i="24"/>
  <c r="AF51" i="24"/>
  <c r="AE51" i="24"/>
  <c r="AG50" i="24"/>
  <c r="AF50" i="24"/>
  <c r="AE50" i="24"/>
  <c r="AF23" i="24"/>
  <c r="AE23" i="24"/>
  <c r="AG23" i="24"/>
  <c r="AG49" i="24"/>
  <c r="AF49" i="24"/>
  <c r="AE49" i="24"/>
  <c r="AG48" i="24"/>
  <c r="AF48" i="24"/>
  <c r="AE48" i="24"/>
  <c r="AF6" i="24"/>
  <c r="AE6" i="24"/>
  <c r="AG6" i="24"/>
  <c r="AG47" i="24"/>
  <c r="AF47" i="24"/>
  <c r="AE47" i="24"/>
  <c r="AF10" i="24"/>
  <c r="AE10" i="24"/>
  <c r="AG10" i="24"/>
  <c r="AG46" i="24"/>
  <c r="AF46" i="24"/>
  <c r="AE46" i="24"/>
  <c r="AG45" i="24"/>
  <c r="AF45" i="24"/>
  <c r="AE45" i="24"/>
  <c r="AF15" i="24"/>
  <c r="AE15" i="24"/>
  <c r="AG15" i="24"/>
  <c r="AG44" i="24"/>
  <c r="AF44" i="24"/>
  <c r="AE44" i="24"/>
  <c r="AF28" i="24"/>
  <c r="AE28" i="24"/>
  <c r="AG28" i="24"/>
  <c r="AG43" i="24"/>
  <c r="AF43" i="24"/>
  <c r="AE43" i="24"/>
  <c r="AF19" i="24"/>
  <c r="AE19" i="24"/>
  <c r="AG19" i="24"/>
  <c r="AG42" i="24"/>
  <c r="AF42" i="24"/>
  <c r="AE42" i="24"/>
  <c r="AF8" i="24"/>
  <c r="AE8" i="24"/>
  <c r="AG8" i="24"/>
  <c r="AG41" i="24"/>
  <c r="AF41" i="24"/>
  <c r="AE41" i="24"/>
  <c r="AF4" i="24"/>
  <c r="AE4" i="24"/>
  <c r="AG4" i="24"/>
  <c r="AG40" i="24"/>
  <c r="AF40" i="24"/>
  <c r="AE40" i="24"/>
  <c r="AF11" i="24"/>
  <c r="AE11" i="24"/>
  <c r="AG11" i="24"/>
  <c r="AG39" i="24"/>
  <c r="AF39" i="24"/>
  <c r="AE39" i="24"/>
  <c r="AF2" i="24"/>
  <c r="AE2" i="24"/>
  <c r="AG2" i="24"/>
  <c r="AG38" i="24"/>
  <c r="AF38" i="24"/>
  <c r="AE38" i="24"/>
  <c r="AF22" i="24"/>
  <c r="AE22" i="24"/>
  <c r="AG22" i="24"/>
  <c r="AG37" i="24"/>
  <c r="AF37" i="24"/>
  <c r="AE37" i="24"/>
  <c r="AF26" i="24"/>
  <c r="AE26" i="24"/>
  <c r="AG26" i="24"/>
  <c r="AG36" i="24"/>
  <c r="AF36" i="24"/>
  <c r="AE36" i="24"/>
  <c r="AF30" i="24"/>
  <c r="AE30" i="24"/>
  <c r="AG30" i="24"/>
  <c r="AG35" i="24"/>
  <c r="AF35" i="24"/>
  <c r="AE35" i="24"/>
  <c r="AF14" i="24"/>
  <c r="AE14" i="24"/>
  <c r="AG14" i="24"/>
  <c r="AG34" i="24"/>
  <c r="AF34" i="24"/>
  <c r="AE34" i="24"/>
  <c r="AF13" i="24"/>
  <c r="AE13" i="24"/>
  <c r="AG13" i="24"/>
  <c r="AG33" i="24"/>
  <c r="AF33" i="24"/>
  <c r="AE33" i="24"/>
  <c r="AF3" i="24"/>
  <c r="AE3" i="24"/>
  <c r="AG3" i="24"/>
  <c r="AG32" i="24"/>
  <c r="AF32" i="24"/>
  <c r="AE32" i="24"/>
  <c r="AG31" i="24"/>
  <c r="AF31" i="24"/>
  <c r="AE31" i="24"/>
  <c r="T27" i="24"/>
  <c r="T76" i="24"/>
  <c r="S27" i="24"/>
  <c r="S76" i="24"/>
  <c r="R27" i="24"/>
  <c r="R76" i="24"/>
  <c r="Q27" i="24"/>
  <c r="Q76" i="24"/>
  <c r="P27" i="24"/>
  <c r="P76" i="24"/>
  <c r="T18" i="24"/>
  <c r="T75" i="24"/>
  <c r="S18" i="24"/>
  <c r="S75" i="24"/>
  <c r="R18" i="24"/>
  <c r="R75" i="24"/>
  <c r="Q18" i="24"/>
  <c r="Q75" i="24"/>
  <c r="P18" i="24"/>
  <c r="P75" i="24"/>
  <c r="T12" i="24"/>
  <c r="T74" i="24"/>
  <c r="S12" i="24"/>
  <c r="S74" i="24"/>
  <c r="R12" i="24"/>
  <c r="R74" i="24"/>
  <c r="Q12" i="24"/>
  <c r="Q74" i="24"/>
  <c r="P12" i="24"/>
  <c r="P74" i="24"/>
  <c r="T7" i="24"/>
  <c r="T73" i="24"/>
  <c r="S7" i="24"/>
  <c r="S73" i="24"/>
  <c r="R7" i="24"/>
  <c r="R73" i="24"/>
  <c r="Q7" i="24"/>
  <c r="Q73" i="24"/>
  <c r="P7" i="24"/>
  <c r="P73" i="24"/>
  <c r="T16" i="24"/>
  <c r="T72" i="24"/>
  <c r="S16" i="24"/>
  <c r="S72" i="24"/>
  <c r="R16" i="24"/>
  <c r="R72" i="24"/>
  <c r="Q16" i="24"/>
  <c r="Q72" i="24"/>
  <c r="P16" i="24"/>
  <c r="P72" i="24"/>
  <c r="T29" i="24"/>
  <c r="T71" i="24"/>
  <c r="S29" i="24"/>
  <c r="S71" i="24"/>
  <c r="R29" i="24"/>
  <c r="R71" i="24"/>
  <c r="Q29" i="24"/>
  <c r="Q71" i="24"/>
  <c r="P29" i="24"/>
  <c r="P71" i="24"/>
  <c r="T20" i="24"/>
  <c r="T70" i="24"/>
  <c r="S20" i="24"/>
  <c r="S70" i="24"/>
  <c r="R20" i="24"/>
  <c r="R70" i="24"/>
  <c r="Q20" i="24"/>
  <c r="Q70" i="24"/>
  <c r="P20" i="24"/>
  <c r="P70" i="24"/>
  <c r="T24" i="24"/>
  <c r="T69" i="24"/>
  <c r="S24" i="24"/>
  <c r="S69" i="24"/>
  <c r="R24" i="24"/>
  <c r="R69" i="24"/>
  <c r="Q24" i="24"/>
  <c r="Q69" i="24"/>
  <c r="P24" i="24"/>
  <c r="P69" i="24"/>
  <c r="T9" i="24"/>
  <c r="T68" i="24"/>
  <c r="S9" i="24"/>
  <c r="S68" i="24"/>
  <c r="R9" i="24"/>
  <c r="R68" i="24"/>
  <c r="Q9" i="24"/>
  <c r="Q68" i="24"/>
  <c r="P9" i="24"/>
  <c r="P68" i="24"/>
  <c r="T5" i="24"/>
  <c r="T67" i="24"/>
  <c r="S5" i="24"/>
  <c r="S67" i="24"/>
  <c r="R5" i="24"/>
  <c r="R67" i="24"/>
  <c r="Q5" i="24"/>
  <c r="Q67" i="24"/>
  <c r="P5" i="24"/>
  <c r="P67" i="24"/>
  <c r="T17" i="24"/>
  <c r="T66" i="24"/>
  <c r="S17" i="24"/>
  <c r="S66" i="24"/>
  <c r="R17" i="24"/>
  <c r="R66" i="24"/>
  <c r="Q17" i="24"/>
  <c r="Q66" i="24"/>
  <c r="P17" i="24"/>
  <c r="P66" i="24"/>
  <c r="T21" i="24"/>
  <c r="T65" i="24"/>
  <c r="S21" i="24"/>
  <c r="S65" i="24"/>
  <c r="R21" i="24"/>
  <c r="R65" i="24"/>
  <c r="Q21" i="24"/>
  <c r="Q65" i="24"/>
  <c r="P21" i="24"/>
  <c r="P65" i="24"/>
  <c r="T25" i="24"/>
  <c r="T64" i="24"/>
  <c r="S25" i="24"/>
  <c r="S64" i="24"/>
  <c r="R25" i="24"/>
  <c r="R64" i="24"/>
  <c r="Q25" i="24"/>
  <c r="Q64" i="24"/>
  <c r="P25" i="24"/>
  <c r="P64" i="24"/>
  <c r="T63" i="24"/>
  <c r="S63" i="24"/>
  <c r="R63" i="24"/>
  <c r="Q63" i="24"/>
  <c r="P63" i="24"/>
  <c r="T62" i="24"/>
  <c r="S62" i="24"/>
  <c r="R62" i="24"/>
  <c r="Q62" i="24"/>
  <c r="P62" i="24"/>
  <c r="T61" i="24"/>
  <c r="S61" i="24"/>
  <c r="R61" i="24"/>
  <c r="Q61" i="24"/>
  <c r="P61" i="24"/>
  <c r="T60" i="24"/>
  <c r="S60" i="24"/>
  <c r="R60" i="24"/>
  <c r="Q60" i="24"/>
  <c r="P60" i="24"/>
  <c r="T59" i="24"/>
  <c r="S59" i="24"/>
  <c r="R59" i="24"/>
  <c r="Q59" i="24"/>
  <c r="P59" i="24"/>
  <c r="T58" i="24"/>
  <c r="S58" i="24"/>
  <c r="R58" i="24"/>
  <c r="Q58" i="24"/>
  <c r="P58" i="24"/>
  <c r="T57" i="24"/>
  <c r="S57" i="24"/>
  <c r="R57" i="24"/>
  <c r="Q57" i="24"/>
  <c r="P57" i="24"/>
  <c r="T56" i="24"/>
  <c r="S56" i="24"/>
  <c r="R56" i="24"/>
  <c r="Q56" i="24"/>
  <c r="P56" i="24"/>
  <c r="T55" i="24"/>
  <c r="S55" i="24"/>
  <c r="R55" i="24"/>
  <c r="Q55" i="24"/>
  <c r="P55" i="24"/>
  <c r="T54" i="24"/>
  <c r="S54" i="24"/>
  <c r="R54" i="24"/>
  <c r="Q54" i="24"/>
  <c r="P54" i="24"/>
  <c r="T53" i="24"/>
  <c r="S53" i="24"/>
  <c r="R53" i="24"/>
  <c r="Q53" i="24"/>
  <c r="P53" i="24"/>
  <c r="T52" i="24"/>
  <c r="S52" i="24"/>
  <c r="R52" i="24"/>
  <c r="Q52" i="24"/>
  <c r="P52" i="24"/>
  <c r="T51" i="24"/>
  <c r="S51" i="24"/>
  <c r="R51" i="24"/>
  <c r="Q51" i="24"/>
  <c r="P51" i="24"/>
  <c r="T50" i="24"/>
  <c r="S50" i="24"/>
  <c r="R50" i="24"/>
  <c r="Q50" i="24"/>
  <c r="P50" i="24"/>
  <c r="T23" i="24"/>
  <c r="T49" i="24"/>
  <c r="S23" i="24"/>
  <c r="S49" i="24"/>
  <c r="R23" i="24"/>
  <c r="R49" i="24"/>
  <c r="Q23" i="24"/>
  <c r="Q49" i="24"/>
  <c r="P23" i="24"/>
  <c r="P49" i="24"/>
  <c r="T48" i="24"/>
  <c r="S48" i="24"/>
  <c r="R48" i="24"/>
  <c r="Q48" i="24"/>
  <c r="P48" i="24"/>
  <c r="T6" i="24"/>
  <c r="T47" i="24"/>
  <c r="S6" i="24"/>
  <c r="S47" i="24"/>
  <c r="R6" i="24"/>
  <c r="R47" i="24"/>
  <c r="Q6" i="24"/>
  <c r="Q47" i="24"/>
  <c r="P6" i="24"/>
  <c r="P47" i="24"/>
  <c r="T10" i="24"/>
  <c r="T46" i="24"/>
  <c r="S10" i="24"/>
  <c r="S46" i="24"/>
  <c r="R10" i="24"/>
  <c r="R46" i="24"/>
  <c r="Q10" i="24"/>
  <c r="Q46" i="24"/>
  <c r="P10" i="24"/>
  <c r="P46" i="24"/>
  <c r="T45" i="24"/>
  <c r="S45" i="24"/>
  <c r="R45" i="24"/>
  <c r="Q45" i="24"/>
  <c r="P45" i="24"/>
  <c r="T15" i="24"/>
  <c r="T44" i="24"/>
  <c r="S15" i="24"/>
  <c r="S44" i="24"/>
  <c r="R15" i="24"/>
  <c r="R44" i="24"/>
  <c r="Q15" i="24"/>
  <c r="Q44" i="24"/>
  <c r="P15" i="24"/>
  <c r="P44" i="24"/>
  <c r="T28" i="24"/>
  <c r="T43" i="24"/>
  <c r="S28" i="24"/>
  <c r="S43" i="24"/>
  <c r="R28" i="24"/>
  <c r="R43" i="24"/>
  <c r="Q28" i="24"/>
  <c r="Q43" i="24"/>
  <c r="P28" i="24"/>
  <c r="P43" i="24"/>
  <c r="T19" i="24"/>
  <c r="T42" i="24"/>
  <c r="S19" i="24"/>
  <c r="S42" i="24"/>
  <c r="R19" i="24"/>
  <c r="R42" i="24"/>
  <c r="Q19" i="24"/>
  <c r="Q42" i="24"/>
  <c r="P19" i="24"/>
  <c r="P42" i="24"/>
  <c r="T8" i="24"/>
  <c r="T41" i="24"/>
  <c r="S8" i="24"/>
  <c r="S41" i="24"/>
  <c r="R8" i="24"/>
  <c r="R41" i="24"/>
  <c r="Q8" i="24"/>
  <c r="Q41" i="24"/>
  <c r="P8" i="24"/>
  <c r="P41" i="24"/>
  <c r="T4" i="24"/>
  <c r="T40" i="24"/>
  <c r="S4" i="24"/>
  <c r="S40" i="24"/>
  <c r="R4" i="24"/>
  <c r="R40" i="24"/>
  <c r="Q4" i="24"/>
  <c r="Q40" i="24"/>
  <c r="P4" i="24"/>
  <c r="P40" i="24"/>
  <c r="T11" i="24"/>
  <c r="T39" i="24"/>
  <c r="S11" i="24"/>
  <c r="S39" i="24"/>
  <c r="R11" i="24"/>
  <c r="R39" i="24"/>
  <c r="Q11" i="24"/>
  <c r="Q39" i="24"/>
  <c r="P11" i="24"/>
  <c r="P39" i="24"/>
  <c r="T2" i="24"/>
  <c r="T38" i="24"/>
  <c r="S2" i="24"/>
  <c r="S38" i="24"/>
  <c r="R2" i="24"/>
  <c r="R38" i="24"/>
  <c r="Q2" i="24"/>
  <c r="Q38" i="24"/>
  <c r="P2" i="24"/>
  <c r="P38" i="24"/>
  <c r="T22" i="24"/>
  <c r="T37" i="24"/>
  <c r="S22" i="24"/>
  <c r="S37" i="24"/>
  <c r="R22" i="24"/>
  <c r="R37" i="24"/>
  <c r="Q22" i="24"/>
  <c r="Q37" i="24"/>
  <c r="P22" i="24"/>
  <c r="P37" i="24"/>
  <c r="T26" i="24"/>
  <c r="T36" i="24"/>
  <c r="S26" i="24"/>
  <c r="S36" i="24"/>
  <c r="R26" i="24"/>
  <c r="R36" i="24"/>
  <c r="Q26" i="24"/>
  <c r="Q36" i="24"/>
  <c r="P26" i="24"/>
  <c r="P36" i="24"/>
  <c r="T30" i="24"/>
  <c r="T35" i="24"/>
  <c r="S30" i="24"/>
  <c r="S35" i="24"/>
  <c r="R30" i="24"/>
  <c r="R35" i="24"/>
  <c r="Q30" i="24"/>
  <c r="Q35" i="24"/>
  <c r="P30" i="24"/>
  <c r="P35" i="24"/>
  <c r="T14" i="24"/>
  <c r="T34" i="24"/>
  <c r="S14" i="24"/>
  <c r="S34" i="24"/>
  <c r="R14" i="24"/>
  <c r="R34" i="24"/>
  <c r="Q14" i="24"/>
  <c r="Q34" i="24"/>
  <c r="P14" i="24"/>
  <c r="P34" i="24"/>
  <c r="T13" i="24"/>
  <c r="T33" i="24"/>
  <c r="S13" i="24"/>
  <c r="S33" i="24"/>
  <c r="R13" i="24"/>
  <c r="R33" i="24"/>
  <c r="Q13" i="24"/>
  <c r="Q33" i="24"/>
  <c r="P13" i="24"/>
  <c r="P33" i="24"/>
  <c r="T3" i="24"/>
  <c r="T32" i="24"/>
  <c r="S3" i="24"/>
  <c r="S32" i="24"/>
  <c r="R3" i="24"/>
  <c r="R32" i="24"/>
  <c r="Q3" i="24"/>
  <c r="Q32" i="24"/>
  <c r="P3" i="24"/>
  <c r="P32" i="24"/>
  <c r="T31" i="24"/>
  <c r="S31" i="24"/>
  <c r="R31" i="24"/>
  <c r="Q31" i="24"/>
  <c r="P31" i="24"/>
  <c r="F25" i="24"/>
  <c r="F64" i="24"/>
  <c r="F17" i="24"/>
  <c r="F66" i="24"/>
  <c r="F9" i="24"/>
  <c r="F68" i="24"/>
  <c r="F24" i="24"/>
  <c r="F69" i="24"/>
  <c r="F20" i="24"/>
  <c r="F70" i="24"/>
  <c r="F29" i="24"/>
  <c r="F71" i="24"/>
  <c r="F16" i="24"/>
  <c r="F72" i="24"/>
  <c r="F7" i="24"/>
  <c r="F73" i="24"/>
  <c r="F12" i="24"/>
  <c r="F74" i="24"/>
  <c r="F18" i="24"/>
  <c r="F75" i="24"/>
  <c r="F27" i="24"/>
  <c r="F76" i="24"/>
  <c r="F63" i="24"/>
  <c r="F23" i="24"/>
  <c r="F49" i="24"/>
  <c r="F50" i="24"/>
  <c r="F52" i="24"/>
  <c r="F54" i="24"/>
  <c r="F55" i="24"/>
  <c r="F56" i="24"/>
  <c r="F57" i="24"/>
  <c r="F58" i="24"/>
  <c r="F59" i="24"/>
  <c r="F60" i="24"/>
  <c r="F61" i="24"/>
  <c r="F62" i="24"/>
  <c r="F48" i="24"/>
  <c r="D23" i="24"/>
  <c r="D49" i="24"/>
  <c r="E23" i="24"/>
  <c r="E49" i="24"/>
  <c r="G49" i="24"/>
  <c r="D25" i="24"/>
  <c r="D50" i="24"/>
  <c r="E25" i="24"/>
  <c r="E50" i="24"/>
  <c r="G50" i="24"/>
  <c r="D21" i="24"/>
  <c r="D51" i="24"/>
  <c r="E21" i="24"/>
  <c r="E51" i="24"/>
  <c r="F21" i="24"/>
  <c r="F51" i="24"/>
  <c r="G51" i="24"/>
  <c r="D17" i="24"/>
  <c r="D52" i="24"/>
  <c r="E17" i="24"/>
  <c r="E52" i="24"/>
  <c r="G52" i="24"/>
  <c r="D5" i="24"/>
  <c r="D53" i="24"/>
  <c r="E5" i="24"/>
  <c r="E53" i="24"/>
  <c r="F5" i="24"/>
  <c r="F53" i="24"/>
  <c r="G53" i="24"/>
  <c r="D9" i="24"/>
  <c r="D54" i="24"/>
  <c r="E9" i="24"/>
  <c r="E54" i="24"/>
  <c r="G54" i="24"/>
  <c r="D24" i="24"/>
  <c r="D55" i="24"/>
  <c r="E24" i="24"/>
  <c r="E55" i="24"/>
  <c r="G55" i="24"/>
  <c r="D20" i="24"/>
  <c r="D56" i="24"/>
  <c r="E20" i="24"/>
  <c r="E56" i="24"/>
  <c r="G56" i="24"/>
  <c r="D29" i="24"/>
  <c r="D57" i="24"/>
  <c r="E29" i="24"/>
  <c r="E57" i="24"/>
  <c r="G57" i="24"/>
  <c r="D16" i="24"/>
  <c r="D58" i="24"/>
  <c r="E16" i="24"/>
  <c r="E58" i="24"/>
  <c r="G58" i="24"/>
  <c r="D7" i="24"/>
  <c r="D59" i="24"/>
  <c r="E7" i="24"/>
  <c r="E59" i="24"/>
  <c r="G59" i="24"/>
  <c r="D12" i="24"/>
  <c r="D60" i="24"/>
  <c r="E12" i="24"/>
  <c r="E60" i="24"/>
  <c r="G60" i="24"/>
  <c r="D18" i="24"/>
  <c r="D61" i="24"/>
  <c r="E18" i="24"/>
  <c r="E61" i="24"/>
  <c r="G61" i="24"/>
  <c r="D27" i="24"/>
  <c r="D62" i="24"/>
  <c r="E27" i="24"/>
  <c r="E62" i="24"/>
  <c r="G62" i="24"/>
  <c r="G48" i="24"/>
  <c r="E48" i="24"/>
  <c r="D64" i="24"/>
  <c r="E64" i="24"/>
  <c r="G64" i="24"/>
  <c r="D65" i="24"/>
  <c r="E65" i="24"/>
  <c r="F65" i="24"/>
  <c r="G65" i="24"/>
  <c r="D66" i="24"/>
  <c r="E66" i="24"/>
  <c r="G66" i="24"/>
  <c r="D67" i="24"/>
  <c r="E67" i="24"/>
  <c r="F67" i="24"/>
  <c r="G67" i="24"/>
  <c r="D68" i="24"/>
  <c r="E68" i="24"/>
  <c r="G68" i="24"/>
  <c r="D69" i="24"/>
  <c r="E69" i="24"/>
  <c r="G69" i="24"/>
  <c r="D70" i="24"/>
  <c r="E70" i="24"/>
  <c r="G70" i="24"/>
  <c r="D71" i="24"/>
  <c r="E71" i="24"/>
  <c r="G71" i="24"/>
  <c r="D72" i="24"/>
  <c r="E72" i="24"/>
  <c r="G72" i="24"/>
  <c r="D73" i="24"/>
  <c r="E73" i="24"/>
  <c r="G73" i="24"/>
  <c r="D74" i="24"/>
  <c r="E74" i="24"/>
  <c r="G74" i="24"/>
  <c r="D75" i="24"/>
  <c r="E75" i="24"/>
  <c r="G75" i="24"/>
  <c r="D76" i="24"/>
  <c r="E76" i="24"/>
  <c r="G76" i="24"/>
  <c r="G63" i="24"/>
  <c r="E63" i="24"/>
  <c r="D63" i="24"/>
  <c r="D48" i="24"/>
  <c r="D10" i="24"/>
  <c r="D46" i="24"/>
  <c r="D6" i="24"/>
  <c r="D47" i="24"/>
  <c r="D45" i="24"/>
  <c r="F3" i="24"/>
  <c r="F32" i="24"/>
  <c r="F13" i="24"/>
  <c r="F33" i="24"/>
  <c r="F14" i="24"/>
  <c r="F34" i="24"/>
  <c r="F30" i="24"/>
  <c r="F35" i="24"/>
  <c r="F26" i="24"/>
  <c r="F36" i="24"/>
  <c r="F22" i="24"/>
  <c r="F37" i="24"/>
  <c r="F2" i="24"/>
  <c r="F38" i="24"/>
  <c r="F11" i="24"/>
  <c r="F39" i="24"/>
  <c r="F4" i="24"/>
  <c r="F40" i="24"/>
  <c r="F8" i="24"/>
  <c r="F41" i="24"/>
  <c r="F19" i="24"/>
  <c r="F42" i="24"/>
  <c r="F28" i="24"/>
  <c r="F43" i="24"/>
  <c r="F31" i="24"/>
  <c r="E3" i="24"/>
  <c r="E32" i="24"/>
  <c r="E13" i="24"/>
  <c r="E33" i="24"/>
  <c r="E14" i="24"/>
  <c r="E34" i="24"/>
  <c r="E30" i="24"/>
  <c r="E35" i="24"/>
  <c r="E26" i="24"/>
  <c r="E36" i="24"/>
  <c r="E22" i="24"/>
  <c r="E37" i="24"/>
  <c r="E2" i="24"/>
  <c r="E38" i="24"/>
  <c r="E11" i="24"/>
  <c r="E39" i="24"/>
  <c r="E4" i="24"/>
  <c r="E40" i="24"/>
  <c r="E8" i="24"/>
  <c r="E41" i="24"/>
  <c r="E19" i="24"/>
  <c r="E42" i="24"/>
  <c r="E28" i="24"/>
  <c r="E43" i="24"/>
  <c r="E15" i="24"/>
  <c r="E44" i="24"/>
  <c r="E31" i="24"/>
  <c r="D3" i="24"/>
  <c r="D32" i="24"/>
  <c r="G32" i="24"/>
  <c r="D13" i="24"/>
  <c r="D33" i="24"/>
  <c r="G33" i="24"/>
  <c r="D14" i="24"/>
  <c r="D34" i="24"/>
  <c r="G34" i="24"/>
  <c r="D30" i="24"/>
  <c r="D35" i="24"/>
  <c r="G35" i="24"/>
  <c r="D26" i="24"/>
  <c r="D36" i="24"/>
  <c r="G36" i="24"/>
  <c r="D22" i="24"/>
  <c r="D37" i="24"/>
  <c r="G37" i="24"/>
  <c r="D2" i="24"/>
  <c r="D38" i="24"/>
  <c r="G38" i="24"/>
  <c r="D11" i="24"/>
  <c r="D39" i="24"/>
  <c r="G39" i="24"/>
  <c r="D4" i="24"/>
  <c r="D40" i="24"/>
  <c r="G40" i="24"/>
  <c r="D8" i="24"/>
  <c r="D41" i="24"/>
  <c r="G41" i="24"/>
  <c r="D19" i="24"/>
  <c r="D42" i="24"/>
  <c r="G42" i="24"/>
  <c r="D28" i="24"/>
  <c r="D43" i="24"/>
  <c r="G43" i="24"/>
  <c r="D15" i="24"/>
  <c r="D44" i="24"/>
  <c r="F15" i="24"/>
  <c r="F44" i="24"/>
  <c r="G44" i="24"/>
  <c r="G31" i="24"/>
  <c r="D31" i="24"/>
  <c r="H3" i="24"/>
  <c r="AI3" i="28"/>
  <c r="AI4" i="28"/>
  <c r="AI5" i="28"/>
  <c r="AI6" i="28"/>
  <c r="AI7" i="28"/>
  <c r="AI8" i="28"/>
  <c r="AI9" i="28"/>
  <c r="AI10" i="28"/>
  <c r="AI11" i="28"/>
  <c r="AI12" i="28"/>
  <c r="AI13" i="28"/>
  <c r="AI14" i="28"/>
  <c r="AI15" i="28"/>
  <c r="AI16" i="28"/>
  <c r="AI17" i="28"/>
  <c r="AI18" i="28"/>
  <c r="AI19" i="28"/>
  <c r="AI20" i="28"/>
  <c r="AI21" i="28"/>
  <c r="AI22" i="28"/>
  <c r="AI23" i="28"/>
  <c r="AI24" i="28"/>
  <c r="AI25" i="28"/>
  <c r="AI26" i="28"/>
  <c r="AI27" i="28"/>
  <c r="AI28" i="28"/>
  <c r="AI29" i="28"/>
  <c r="AI30" i="28"/>
  <c r="AI2" i="28"/>
  <c r="Q2" i="3"/>
  <c r="N3" i="3"/>
  <c r="Q7" i="3"/>
  <c r="G29" i="26"/>
  <c r="G25" i="26"/>
  <c r="G14" i="26"/>
  <c r="G5" i="26"/>
  <c r="G7" i="26"/>
  <c r="G25" i="25"/>
  <c r="G24" i="25"/>
  <c r="G17" i="25"/>
  <c r="G13" i="25"/>
  <c r="G7" i="25"/>
  <c r="G29" i="25"/>
  <c r="G27" i="25"/>
  <c r="G23" i="25"/>
  <c r="G21" i="25"/>
  <c r="G9" i="25"/>
  <c r="G5" i="25"/>
  <c r="E25" i="10"/>
  <c r="E64" i="10"/>
  <c r="E21" i="10"/>
  <c r="E65" i="10"/>
  <c r="E17" i="10"/>
  <c r="E66" i="10"/>
  <c r="E9" i="10"/>
  <c r="E68" i="10"/>
  <c r="E16" i="10"/>
  <c r="E72" i="10"/>
  <c r="E7" i="10"/>
  <c r="E73" i="10"/>
  <c r="E18" i="10"/>
  <c r="E75" i="10"/>
  <c r="E63" i="10"/>
  <c r="AH30" i="12"/>
  <c r="AG30" i="12"/>
  <c r="X30" i="12"/>
  <c r="W30" i="12"/>
  <c r="V30" i="12"/>
  <c r="U30" i="12"/>
  <c r="T30" i="12"/>
  <c r="J30" i="12"/>
  <c r="J35" i="12"/>
  <c r="M35" i="12"/>
  <c r="I30" i="12"/>
  <c r="AH29" i="12"/>
  <c r="AG29" i="12"/>
  <c r="X29" i="12"/>
  <c r="W29" i="12"/>
  <c r="V29" i="12"/>
  <c r="U29" i="12"/>
  <c r="T29" i="12"/>
  <c r="J29" i="12"/>
  <c r="I29" i="12"/>
  <c r="AH28" i="12"/>
  <c r="AG28" i="12"/>
  <c r="X28" i="12"/>
  <c r="W28" i="12"/>
  <c r="V28" i="12"/>
  <c r="U28" i="12"/>
  <c r="T28" i="12"/>
  <c r="J28" i="12"/>
  <c r="I28" i="12"/>
  <c r="AH27" i="12"/>
  <c r="AG27" i="12"/>
  <c r="X27" i="12"/>
  <c r="W27" i="12"/>
  <c r="V27" i="12"/>
  <c r="U27" i="12"/>
  <c r="T27" i="12"/>
  <c r="J27" i="12"/>
  <c r="I27" i="12"/>
  <c r="AH26" i="12"/>
  <c r="AG26" i="12"/>
  <c r="X26" i="12"/>
  <c r="W26" i="12"/>
  <c r="W36" i="12"/>
  <c r="AB36" i="12"/>
  <c r="V26" i="12"/>
  <c r="U26" i="12"/>
  <c r="T26" i="12"/>
  <c r="J26" i="12"/>
  <c r="I26" i="12"/>
  <c r="AH25" i="12"/>
  <c r="AG25" i="12"/>
  <c r="X25" i="12"/>
  <c r="W25" i="12"/>
  <c r="V25" i="12"/>
  <c r="U25" i="12"/>
  <c r="T25" i="12"/>
  <c r="J25" i="12"/>
  <c r="I25" i="12"/>
  <c r="AH24" i="12"/>
  <c r="AG24" i="12"/>
  <c r="X24" i="12"/>
  <c r="W24" i="12"/>
  <c r="V24" i="12"/>
  <c r="U24" i="12"/>
  <c r="T24" i="12"/>
  <c r="J24" i="12"/>
  <c r="I24" i="12"/>
  <c r="AH23" i="12"/>
  <c r="AG23" i="12"/>
  <c r="X23" i="12"/>
  <c r="W23" i="12"/>
  <c r="W49" i="12"/>
  <c r="V23" i="12"/>
  <c r="V49" i="12"/>
  <c r="U23" i="12"/>
  <c r="T23" i="12"/>
  <c r="J23" i="12"/>
  <c r="J49" i="12"/>
  <c r="I23" i="12"/>
  <c r="I49" i="12"/>
  <c r="AH22" i="12"/>
  <c r="AG22" i="12"/>
  <c r="X22" i="12"/>
  <c r="X37" i="12"/>
  <c r="AC37" i="12"/>
  <c r="W22" i="12"/>
  <c r="W37" i="12"/>
  <c r="AB37" i="12"/>
  <c r="V22" i="12"/>
  <c r="U22" i="12"/>
  <c r="T22" i="12"/>
  <c r="T37" i="12"/>
  <c r="Y37" i="12"/>
  <c r="J22" i="12"/>
  <c r="J37" i="12"/>
  <c r="M37" i="12"/>
  <c r="I22" i="12"/>
  <c r="AH21" i="12"/>
  <c r="AG21" i="12"/>
  <c r="X21" i="12"/>
  <c r="W21" i="12"/>
  <c r="V21" i="12"/>
  <c r="U21" i="12"/>
  <c r="T21" i="12"/>
  <c r="J21" i="12"/>
  <c r="I21" i="12"/>
  <c r="AH20" i="12"/>
  <c r="AG20" i="12"/>
  <c r="X20" i="12"/>
  <c r="W20" i="12"/>
  <c r="V20" i="12"/>
  <c r="U20" i="12"/>
  <c r="T20" i="12"/>
  <c r="J20" i="12"/>
  <c r="I20" i="12"/>
  <c r="AH19" i="12"/>
  <c r="AH42" i="12"/>
  <c r="AJ42" i="12"/>
  <c r="AG19" i="12"/>
  <c r="X19" i="12"/>
  <c r="W19" i="12"/>
  <c r="W42" i="12"/>
  <c r="AB42" i="12"/>
  <c r="V19" i="12"/>
  <c r="V42" i="12"/>
  <c r="AA42" i="12"/>
  <c r="U19" i="12"/>
  <c r="T19" i="12"/>
  <c r="J19" i="12"/>
  <c r="I19" i="12"/>
  <c r="I42" i="12"/>
  <c r="L42" i="12"/>
  <c r="AH18" i="12"/>
  <c r="AG18" i="12"/>
  <c r="X18" i="12"/>
  <c r="W18" i="12"/>
  <c r="V18" i="12"/>
  <c r="U18" i="12"/>
  <c r="T18" i="12"/>
  <c r="J18" i="12"/>
  <c r="I18" i="12"/>
  <c r="AH17" i="12"/>
  <c r="AG17" i="12"/>
  <c r="X17" i="12"/>
  <c r="W17" i="12"/>
  <c r="V17" i="12"/>
  <c r="U17" i="12"/>
  <c r="T17" i="12"/>
  <c r="J17" i="12"/>
  <c r="I17" i="12"/>
  <c r="AH16" i="12"/>
  <c r="AG16" i="12"/>
  <c r="X16" i="12"/>
  <c r="W16" i="12"/>
  <c r="V16" i="12"/>
  <c r="U16" i="12"/>
  <c r="T16" i="12"/>
  <c r="J16" i="12"/>
  <c r="I16" i="12"/>
  <c r="AH15" i="12"/>
  <c r="AH44" i="12"/>
  <c r="AJ44" i="12"/>
  <c r="AG15" i="12"/>
  <c r="X15" i="12"/>
  <c r="W15" i="12"/>
  <c r="W44" i="12"/>
  <c r="AB44" i="12"/>
  <c r="V15" i="12"/>
  <c r="V44" i="12"/>
  <c r="AA44" i="12"/>
  <c r="U15" i="12"/>
  <c r="T15" i="12"/>
  <c r="J15" i="12"/>
  <c r="J44" i="12"/>
  <c r="M44" i="12"/>
  <c r="I15" i="12"/>
  <c r="AH14" i="12"/>
  <c r="AG14" i="12"/>
  <c r="X14" i="12"/>
  <c r="W14" i="12"/>
  <c r="W34" i="12"/>
  <c r="AB34" i="12"/>
  <c r="V14" i="12"/>
  <c r="U14" i="12"/>
  <c r="T14" i="12"/>
  <c r="T34" i="12"/>
  <c r="Y34" i="12"/>
  <c r="J14" i="12"/>
  <c r="I14" i="12"/>
  <c r="AH13" i="12"/>
  <c r="AG13" i="12"/>
  <c r="AG33" i="12"/>
  <c r="AI33" i="12"/>
  <c r="X13" i="12"/>
  <c r="W13" i="12"/>
  <c r="V13" i="12"/>
  <c r="U13" i="12"/>
  <c r="T13" i="12"/>
  <c r="T33" i="12"/>
  <c r="Y33" i="12"/>
  <c r="J13" i="12"/>
  <c r="I13" i="12"/>
  <c r="AH12" i="12"/>
  <c r="AG12" i="12"/>
  <c r="X12" i="12"/>
  <c r="W12" i="12"/>
  <c r="V12" i="12"/>
  <c r="U12" i="12"/>
  <c r="T12" i="12"/>
  <c r="J12" i="12"/>
  <c r="I12" i="12"/>
  <c r="AH11" i="12"/>
  <c r="AH39" i="12"/>
  <c r="AJ39" i="12"/>
  <c r="AG11" i="12"/>
  <c r="X11" i="12"/>
  <c r="W11" i="12"/>
  <c r="V11" i="12"/>
  <c r="U11" i="12"/>
  <c r="T11" i="12"/>
  <c r="J11" i="12"/>
  <c r="I11" i="12"/>
  <c r="AH10" i="12"/>
  <c r="AG10" i="12"/>
  <c r="X10" i="12"/>
  <c r="W10" i="12"/>
  <c r="V10" i="12"/>
  <c r="U10" i="12"/>
  <c r="T10" i="12"/>
  <c r="T46" i="12"/>
  <c r="J10" i="12"/>
  <c r="J46" i="12"/>
  <c r="I10" i="12"/>
  <c r="AH9" i="12"/>
  <c r="AG9" i="12"/>
  <c r="X9" i="12"/>
  <c r="W9" i="12"/>
  <c r="V9" i="12"/>
  <c r="U9" i="12"/>
  <c r="T9" i="12"/>
  <c r="J9" i="12"/>
  <c r="I9" i="12"/>
  <c r="AH8" i="12"/>
  <c r="AG8" i="12"/>
  <c r="X8" i="12"/>
  <c r="W8" i="12"/>
  <c r="V8" i="12"/>
  <c r="V41" i="12"/>
  <c r="AA41" i="12"/>
  <c r="U8" i="12"/>
  <c r="U41" i="12"/>
  <c r="Z41" i="12"/>
  <c r="T8" i="12"/>
  <c r="J8" i="12"/>
  <c r="I8" i="12"/>
  <c r="AH7" i="12"/>
  <c r="AG7" i="12"/>
  <c r="X7" i="12"/>
  <c r="W7" i="12"/>
  <c r="V7" i="12"/>
  <c r="U7" i="12"/>
  <c r="T7" i="12"/>
  <c r="J7" i="12"/>
  <c r="I7" i="12"/>
  <c r="AH6" i="12"/>
  <c r="AG6" i="12"/>
  <c r="X6" i="12"/>
  <c r="W6" i="12"/>
  <c r="W47" i="12"/>
  <c r="AB47" i="12"/>
  <c r="V6" i="12"/>
  <c r="U6" i="12"/>
  <c r="T6" i="12"/>
  <c r="J6" i="12"/>
  <c r="J47" i="12"/>
  <c r="M47" i="12"/>
  <c r="I6" i="12"/>
  <c r="AH5" i="12"/>
  <c r="AG5" i="12"/>
  <c r="X5" i="12"/>
  <c r="W5" i="12"/>
  <c r="V5" i="12"/>
  <c r="U5" i="12"/>
  <c r="T5" i="12"/>
  <c r="J5" i="12"/>
  <c r="I5" i="12"/>
  <c r="AH4" i="12"/>
  <c r="AG4" i="12"/>
  <c r="AG40" i="12"/>
  <c r="X4" i="12"/>
  <c r="W4" i="12"/>
  <c r="V4" i="12"/>
  <c r="V40" i="12"/>
  <c r="AA40" i="12"/>
  <c r="U4" i="12"/>
  <c r="U40" i="12"/>
  <c r="Z40" i="12"/>
  <c r="T4" i="12"/>
  <c r="J4" i="12"/>
  <c r="I4" i="12"/>
  <c r="I40" i="12"/>
  <c r="L40" i="12"/>
  <c r="AH3" i="12"/>
  <c r="AH32" i="12"/>
  <c r="AG3" i="12"/>
  <c r="X3" i="12"/>
  <c r="W3" i="12"/>
  <c r="W32" i="12"/>
  <c r="V3" i="12"/>
  <c r="V32" i="12"/>
  <c r="U3" i="12"/>
  <c r="T3" i="12"/>
  <c r="J3" i="12"/>
  <c r="J32" i="12"/>
  <c r="I3" i="12"/>
  <c r="AH2" i="12"/>
  <c r="AG2" i="12"/>
  <c r="X2" i="12"/>
  <c r="X38" i="12"/>
  <c r="AC38" i="12"/>
  <c r="W2" i="12"/>
  <c r="W38" i="12"/>
  <c r="AB38" i="12"/>
  <c r="V2" i="12"/>
  <c r="U2" i="12"/>
  <c r="T2" i="12"/>
  <c r="J2" i="12"/>
  <c r="I2" i="12"/>
  <c r="AH30" i="10"/>
  <c r="AG30" i="10"/>
  <c r="X30" i="10"/>
  <c r="W30" i="10"/>
  <c r="V30" i="10"/>
  <c r="U30" i="10"/>
  <c r="T30" i="10"/>
  <c r="J30" i="10"/>
  <c r="I30" i="10"/>
  <c r="AH29" i="10"/>
  <c r="AG29" i="10"/>
  <c r="X29" i="10"/>
  <c r="W29" i="10"/>
  <c r="V29" i="10"/>
  <c r="U29" i="10"/>
  <c r="T29" i="10"/>
  <c r="J29" i="10"/>
  <c r="I29" i="10"/>
  <c r="AH28" i="10"/>
  <c r="AG28" i="10"/>
  <c r="X28" i="10"/>
  <c r="W28" i="10"/>
  <c r="V28" i="10"/>
  <c r="U28" i="10"/>
  <c r="T28" i="10"/>
  <c r="J28" i="10"/>
  <c r="I28" i="10"/>
  <c r="AH27" i="10"/>
  <c r="AG27" i="10"/>
  <c r="X27" i="10"/>
  <c r="W27" i="10"/>
  <c r="V27" i="10"/>
  <c r="U27" i="10"/>
  <c r="T27" i="10"/>
  <c r="J27" i="10"/>
  <c r="I27" i="10"/>
  <c r="AH26" i="10"/>
  <c r="AG26" i="10"/>
  <c r="X26" i="10"/>
  <c r="W26" i="10"/>
  <c r="V26" i="10"/>
  <c r="U26" i="10"/>
  <c r="T26" i="10"/>
  <c r="J26" i="10"/>
  <c r="I26" i="10"/>
  <c r="AH25" i="10"/>
  <c r="AG25" i="10"/>
  <c r="X25" i="10"/>
  <c r="W25" i="10"/>
  <c r="V25" i="10"/>
  <c r="U25" i="10"/>
  <c r="T25" i="10"/>
  <c r="J25" i="10"/>
  <c r="I25" i="10"/>
  <c r="AH24" i="10"/>
  <c r="AG24" i="10"/>
  <c r="X24" i="10"/>
  <c r="W24" i="10"/>
  <c r="V24" i="10"/>
  <c r="U24" i="10"/>
  <c r="T24" i="10"/>
  <c r="J24" i="10"/>
  <c r="I24" i="10"/>
  <c r="AH23" i="10"/>
  <c r="AG23" i="10"/>
  <c r="X23" i="10"/>
  <c r="W23" i="10"/>
  <c r="V23" i="10"/>
  <c r="U23" i="10"/>
  <c r="T23" i="10"/>
  <c r="J23" i="10"/>
  <c r="I23" i="10"/>
  <c r="AH22" i="10"/>
  <c r="AG22" i="10"/>
  <c r="X22" i="10"/>
  <c r="W22" i="10"/>
  <c r="V22" i="10"/>
  <c r="U22" i="10"/>
  <c r="T22" i="10"/>
  <c r="J22" i="10"/>
  <c r="I22" i="10"/>
  <c r="AH21" i="10"/>
  <c r="AG21" i="10"/>
  <c r="X21" i="10"/>
  <c r="W21" i="10"/>
  <c r="V21" i="10"/>
  <c r="U21" i="10"/>
  <c r="T21" i="10"/>
  <c r="J21" i="10"/>
  <c r="I21" i="10"/>
  <c r="AH20" i="10"/>
  <c r="AG20" i="10"/>
  <c r="X20" i="10"/>
  <c r="W20" i="10"/>
  <c r="V20" i="10"/>
  <c r="U20" i="10"/>
  <c r="T20" i="10"/>
  <c r="J20" i="10"/>
  <c r="I20" i="10"/>
  <c r="AH19" i="10"/>
  <c r="AG19" i="10"/>
  <c r="X19" i="10"/>
  <c r="W19" i="10"/>
  <c r="V19" i="10"/>
  <c r="U19" i="10"/>
  <c r="T19" i="10"/>
  <c r="J19" i="10"/>
  <c r="I19" i="10"/>
  <c r="AH18" i="10"/>
  <c r="AG18" i="10"/>
  <c r="X18" i="10"/>
  <c r="W18" i="10"/>
  <c r="V18" i="10"/>
  <c r="U18" i="10"/>
  <c r="T18" i="10"/>
  <c r="J18" i="10"/>
  <c r="I18" i="10"/>
  <c r="AH17" i="10"/>
  <c r="AG17" i="10"/>
  <c r="X17" i="10"/>
  <c r="W17" i="10"/>
  <c r="V17" i="10"/>
  <c r="U17" i="10"/>
  <c r="T17" i="10"/>
  <c r="J17" i="10"/>
  <c r="I17" i="10"/>
  <c r="AH16" i="10"/>
  <c r="AG16" i="10"/>
  <c r="X16" i="10"/>
  <c r="W16" i="10"/>
  <c r="V16" i="10"/>
  <c r="U16" i="10"/>
  <c r="T16" i="10"/>
  <c r="J16" i="10"/>
  <c r="I16" i="10"/>
  <c r="AH15" i="10"/>
  <c r="AG15" i="10"/>
  <c r="X15" i="10"/>
  <c r="W15" i="10"/>
  <c r="V15" i="10"/>
  <c r="U15" i="10"/>
  <c r="T15" i="10"/>
  <c r="J15" i="10"/>
  <c r="I15" i="10"/>
  <c r="AH14" i="10"/>
  <c r="AG14" i="10"/>
  <c r="X14" i="10"/>
  <c r="W14" i="10"/>
  <c r="V14" i="10"/>
  <c r="U14" i="10"/>
  <c r="T14" i="10"/>
  <c r="J14" i="10"/>
  <c r="I14" i="10"/>
  <c r="AH13" i="10"/>
  <c r="AG13" i="10"/>
  <c r="X13" i="10"/>
  <c r="W13" i="10"/>
  <c r="V13" i="10"/>
  <c r="U13" i="10"/>
  <c r="T13" i="10"/>
  <c r="J13" i="10"/>
  <c r="I13" i="10"/>
  <c r="AH12" i="10"/>
  <c r="AG12" i="10"/>
  <c r="X12" i="10"/>
  <c r="W12" i="10"/>
  <c r="V12" i="10"/>
  <c r="U12" i="10"/>
  <c r="T12" i="10"/>
  <c r="J12" i="10"/>
  <c r="I12" i="10"/>
  <c r="AH11" i="10"/>
  <c r="AG11" i="10"/>
  <c r="X11" i="10"/>
  <c r="W11" i="10"/>
  <c r="V11" i="10"/>
  <c r="U11" i="10"/>
  <c r="T11" i="10"/>
  <c r="J11" i="10"/>
  <c r="I11" i="10"/>
  <c r="AH10" i="10"/>
  <c r="AG10" i="10"/>
  <c r="X10" i="10"/>
  <c r="W10" i="10"/>
  <c r="V10" i="10"/>
  <c r="U10" i="10"/>
  <c r="T10" i="10"/>
  <c r="J10" i="10"/>
  <c r="I10" i="10"/>
  <c r="AH9" i="10"/>
  <c r="AG9" i="10"/>
  <c r="X9" i="10"/>
  <c r="W9" i="10"/>
  <c r="V9" i="10"/>
  <c r="U9" i="10"/>
  <c r="T9" i="10"/>
  <c r="J9" i="10"/>
  <c r="I9" i="10"/>
  <c r="AH8" i="10"/>
  <c r="AG8" i="10"/>
  <c r="X8" i="10"/>
  <c r="W8" i="10"/>
  <c r="V8" i="10"/>
  <c r="U8" i="10"/>
  <c r="T8" i="10"/>
  <c r="J8" i="10"/>
  <c r="I8" i="10"/>
  <c r="AH7" i="10"/>
  <c r="AG7" i="10"/>
  <c r="X7" i="10"/>
  <c r="W7" i="10"/>
  <c r="V7" i="10"/>
  <c r="U7" i="10"/>
  <c r="T7" i="10"/>
  <c r="J7" i="10"/>
  <c r="I7" i="10"/>
  <c r="AH6" i="10"/>
  <c r="AG6" i="10"/>
  <c r="X6" i="10"/>
  <c r="W6" i="10"/>
  <c r="V6" i="10"/>
  <c r="U6" i="10"/>
  <c r="T6" i="10"/>
  <c r="J6" i="10"/>
  <c r="I6" i="10"/>
  <c r="AH5" i="10"/>
  <c r="AG5" i="10"/>
  <c r="X5" i="10"/>
  <c r="W5" i="10"/>
  <c r="V5" i="10"/>
  <c r="U5" i="10"/>
  <c r="T5" i="10"/>
  <c r="J5" i="10"/>
  <c r="I5" i="10"/>
  <c r="AH4" i="10"/>
  <c r="AG4" i="10"/>
  <c r="X4" i="10"/>
  <c r="W4" i="10"/>
  <c r="V4" i="10"/>
  <c r="U4" i="10"/>
  <c r="T4" i="10"/>
  <c r="J4" i="10"/>
  <c r="I4" i="10"/>
  <c r="AH3" i="10"/>
  <c r="AG3" i="10"/>
  <c r="X3" i="10"/>
  <c r="W3" i="10"/>
  <c r="V3" i="10"/>
  <c r="U3" i="10"/>
  <c r="T3" i="10"/>
  <c r="J3" i="10"/>
  <c r="I3" i="10"/>
  <c r="AH2" i="10"/>
  <c r="AG2" i="10"/>
  <c r="X2" i="10"/>
  <c r="W2" i="10"/>
  <c r="V2" i="10"/>
  <c r="U2" i="10"/>
  <c r="T2" i="10"/>
  <c r="J2" i="10"/>
  <c r="I2" i="10"/>
  <c r="AI27" i="24"/>
  <c r="AI76" i="24"/>
  <c r="AH27" i="24"/>
  <c r="AH76" i="24"/>
  <c r="I27" i="24"/>
  <c r="I76" i="24"/>
  <c r="H27" i="24"/>
  <c r="H76" i="24"/>
  <c r="AI18" i="24"/>
  <c r="AI75" i="24"/>
  <c r="AH18" i="24"/>
  <c r="AH75" i="24"/>
  <c r="I18" i="24"/>
  <c r="I75" i="24"/>
  <c r="H18" i="24"/>
  <c r="H75" i="24"/>
  <c r="AI12" i="24"/>
  <c r="AI74" i="24"/>
  <c r="AH12" i="24"/>
  <c r="AH74" i="24"/>
  <c r="I12" i="24"/>
  <c r="I74" i="24"/>
  <c r="H12" i="24"/>
  <c r="H74" i="24"/>
  <c r="AI7" i="24"/>
  <c r="AI73" i="24"/>
  <c r="AH7" i="24"/>
  <c r="AH73" i="24"/>
  <c r="I7" i="24"/>
  <c r="I73" i="24"/>
  <c r="H7" i="24"/>
  <c r="H73" i="24"/>
  <c r="AI16" i="24"/>
  <c r="AI72" i="24"/>
  <c r="AH16" i="24"/>
  <c r="AH72" i="24"/>
  <c r="I16" i="24"/>
  <c r="I72" i="24"/>
  <c r="H16" i="24"/>
  <c r="H72" i="24"/>
  <c r="AI29" i="24"/>
  <c r="AI71" i="24"/>
  <c r="AH29" i="24"/>
  <c r="AH71" i="24"/>
  <c r="I29" i="24"/>
  <c r="I71" i="24"/>
  <c r="H29" i="24"/>
  <c r="H71" i="24"/>
  <c r="AI20" i="24"/>
  <c r="AI70" i="24"/>
  <c r="AH20" i="24"/>
  <c r="AH70" i="24"/>
  <c r="I20" i="24"/>
  <c r="I70" i="24"/>
  <c r="H20" i="24"/>
  <c r="H70" i="24"/>
  <c r="AI24" i="24"/>
  <c r="AI69" i="24"/>
  <c r="AH24" i="24"/>
  <c r="AH69" i="24"/>
  <c r="I24" i="24"/>
  <c r="I69" i="24"/>
  <c r="H24" i="24"/>
  <c r="H69" i="24"/>
  <c r="AI9" i="24"/>
  <c r="AI68" i="24"/>
  <c r="AH9" i="24"/>
  <c r="AH68" i="24"/>
  <c r="I9" i="24"/>
  <c r="I68" i="24"/>
  <c r="H9" i="24"/>
  <c r="H68" i="24"/>
  <c r="AI5" i="24"/>
  <c r="AI67" i="24"/>
  <c r="AH5" i="24"/>
  <c r="AH67" i="24"/>
  <c r="I5" i="24"/>
  <c r="I67" i="24"/>
  <c r="H5" i="24"/>
  <c r="H67" i="24"/>
  <c r="AI17" i="24"/>
  <c r="AI66" i="24"/>
  <c r="AH17" i="24"/>
  <c r="AH66" i="24"/>
  <c r="I17" i="24"/>
  <c r="I66" i="24"/>
  <c r="H17" i="24"/>
  <c r="H66" i="24"/>
  <c r="AI21" i="24"/>
  <c r="AI65" i="24"/>
  <c r="AH21" i="24"/>
  <c r="AH65" i="24"/>
  <c r="I21" i="24"/>
  <c r="I65" i="24"/>
  <c r="H21" i="24"/>
  <c r="H65" i="24"/>
  <c r="AI25" i="24"/>
  <c r="AI64" i="24"/>
  <c r="AH25" i="24"/>
  <c r="AH64" i="24"/>
  <c r="I25" i="24"/>
  <c r="I64" i="24"/>
  <c r="H25" i="24"/>
  <c r="H64" i="24"/>
  <c r="AI62" i="24"/>
  <c r="AH62" i="24"/>
  <c r="I62" i="24"/>
  <c r="H62" i="24"/>
  <c r="AI61" i="24"/>
  <c r="AH61" i="24"/>
  <c r="I61" i="24"/>
  <c r="H61" i="24"/>
  <c r="AI60" i="24"/>
  <c r="AH60" i="24"/>
  <c r="I60" i="24"/>
  <c r="H60" i="24"/>
  <c r="AI59" i="24"/>
  <c r="AH59" i="24"/>
  <c r="I59" i="24"/>
  <c r="H59" i="24"/>
  <c r="AI58" i="24"/>
  <c r="AH58" i="24"/>
  <c r="I58" i="24"/>
  <c r="H58" i="24"/>
  <c r="AI57" i="24"/>
  <c r="AH57" i="24"/>
  <c r="I57" i="24"/>
  <c r="H57" i="24"/>
  <c r="AI56" i="24"/>
  <c r="AH56" i="24"/>
  <c r="I56" i="24"/>
  <c r="H56" i="24"/>
  <c r="AI55" i="24"/>
  <c r="AH55" i="24"/>
  <c r="I55" i="24"/>
  <c r="H55" i="24"/>
  <c r="AI54" i="24"/>
  <c r="AH54" i="24"/>
  <c r="I54" i="24"/>
  <c r="H54" i="24"/>
  <c r="AI53" i="24"/>
  <c r="AH53" i="24"/>
  <c r="I53" i="24"/>
  <c r="H53" i="24"/>
  <c r="AI52" i="24"/>
  <c r="AH52" i="24"/>
  <c r="I52" i="24"/>
  <c r="H52" i="24"/>
  <c r="AI51" i="24"/>
  <c r="AH51" i="24"/>
  <c r="I51" i="24"/>
  <c r="H51" i="24"/>
  <c r="AI50" i="24"/>
  <c r="AH50" i="24"/>
  <c r="I50" i="24"/>
  <c r="H50" i="24"/>
  <c r="AI23" i="24"/>
  <c r="AI49" i="24"/>
  <c r="AH23" i="24"/>
  <c r="AH49" i="24"/>
  <c r="I23" i="24"/>
  <c r="I49" i="24"/>
  <c r="H23" i="24"/>
  <c r="H49" i="24"/>
  <c r="AI6" i="24"/>
  <c r="AI47" i="24"/>
  <c r="AH6" i="24"/>
  <c r="AH47" i="24"/>
  <c r="I6" i="24"/>
  <c r="I47" i="24"/>
  <c r="AI10" i="24"/>
  <c r="AI46" i="24"/>
  <c r="AH10" i="24"/>
  <c r="AH46" i="24"/>
  <c r="I10" i="24"/>
  <c r="I46" i="24"/>
  <c r="H10" i="24"/>
  <c r="H46" i="24"/>
  <c r="AI15" i="24"/>
  <c r="AI44" i="24"/>
  <c r="AH15" i="24"/>
  <c r="AH44" i="24"/>
  <c r="I15" i="24"/>
  <c r="I44" i="24"/>
  <c r="H15" i="24"/>
  <c r="H44" i="24"/>
  <c r="AI28" i="24"/>
  <c r="AI43" i="24"/>
  <c r="AH28" i="24"/>
  <c r="AH43" i="24"/>
  <c r="I28" i="24"/>
  <c r="I43" i="24"/>
  <c r="H28" i="24"/>
  <c r="H43" i="24"/>
  <c r="AI19" i="24"/>
  <c r="AI42" i="24"/>
  <c r="AH19" i="24"/>
  <c r="AH42" i="24"/>
  <c r="I19" i="24"/>
  <c r="I42" i="24"/>
  <c r="H19" i="24"/>
  <c r="H42" i="24"/>
  <c r="AI8" i="24"/>
  <c r="AI41" i="24"/>
  <c r="AH8" i="24"/>
  <c r="AH41" i="24"/>
  <c r="I8" i="24"/>
  <c r="I41" i="24"/>
  <c r="H8" i="24"/>
  <c r="H41" i="24"/>
  <c r="AI4" i="24"/>
  <c r="AI40" i="24"/>
  <c r="AH4" i="24"/>
  <c r="AH40" i="24"/>
  <c r="I4" i="24"/>
  <c r="I40" i="24"/>
  <c r="H4" i="24"/>
  <c r="H40" i="24"/>
  <c r="AI11" i="24"/>
  <c r="AI39" i="24"/>
  <c r="AH11" i="24"/>
  <c r="AH39" i="24"/>
  <c r="I11" i="24"/>
  <c r="I39" i="24"/>
  <c r="H11" i="24"/>
  <c r="H39" i="24"/>
  <c r="AI2" i="24"/>
  <c r="AI38" i="24"/>
  <c r="AH2" i="24"/>
  <c r="AH38" i="24"/>
  <c r="I2" i="24"/>
  <c r="I38" i="24"/>
  <c r="H38" i="24"/>
  <c r="AI22" i="24"/>
  <c r="AI37" i="24"/>
  <c r="AH22" i="24"/>
  <c r="AH37" i="24"/>
  <c r="I22" i="24"/>
  <c r="I37" i="24"/>
  <c r="H22" i="24"/>
  <c r="H37" i="24"/>
  <c r="AI26" i="24"/>
  <c r="AI36" i="24"/>
  <c r="AH26" i="24"/>
  <c r="AH36" i="24"/>
  <c r="I26" i="24"/>
  <c r="I36" i="24"/>
  <c r="H26" i="24"/>
  <c r="H36" i="24"/>
  <c r="AI30" i="24"/>
  <c r="AI35" i="24"/>
  <c r="AH30" i="24"/>
  <c r="AH35" i="24"/>
  <c r="I30" i="24"/>
  <c r="I35" i="24"/>
  <c r="H30" i="24"/>
  <c r="H35" i="24"/>
  <c r="AI14" i="24"/>
  <c r="AI34" i="24"/>
  <c r="AH14" i="24"/>
  <c r="AH34" i="24"/>
  <c r="I14" i="24"/>
  <c r="I34" i="24"/>
  <c r="H14" i="24"/>
  <c r="H34" i="24"/>
  <c r="AI13" i="24"/>
  <c r="AI33" i="24"/>
  <c r="AH13" i="24"/>
  <c r="AH33" i="24"/>
  <c r="I13" i="24"/>
  <c r="I33" i="24"/>
  <c r="H13" i="24"/>
  <c r="H33" i="24"/>
  <c r="AI3" i="24"/>
  <c r="AI32" i="24"/>
  <c r="AH3" i="24"/>
  <c r="AH32" i="24"/>
  <c r="I3" i="24"/>
  <c r="I32" i="24"/>
  <c r="Z30" i="28"/>
  <c r="Y30" i="24"/>
  <c r="Y35" i="24"/>
  <c r="AD30" i="28"/>
  <c r="X30" i="24"/>
  <c r="X35" i="24"/>
  <c r="AC35" i="24"/>
  <c r="AC30" i="28"/>
  <c r="W30" i="24"/>
  <c r="W35" i="24"/>
  <c r="AB30" i="28"/>
  <c r="V30" i="24"/>
  <c r="V35" i="24"/>
  <c r="AA35" i="24"/>
  <c r="AA30" i="28"/>
  <c r="U30" i="24"/>
  <c r="U35" i="24"/>
  <c r="J30" i="24"/>
  <c r="J35" i="24"/>
  <c r="Z29" i="28"/>
  <c r="Y29" i="24"/>
  <c r="Y71" i="24"/>
  <c r="AD29" i="28"/>
  <c r="X29" i="24"/>
  <c r="X71" i="24"/>
  <c r="AC71" i="24"/>
  <c r="AC29" i="28"/>
  <c r="W29" i="24"/>
  <c r="W57" i="24"/>
  <c r="AB29" i="28"/>
  <c r="V29" i="24"/>
  <c r="V57" i="24"/>
  <c r="AA29" i="28"/>
  <c r="U29" i="24"/>
  <c r="U71" i="24"/>
  <c r="J29" i="24"/>
  <c r="J71" i="24"/>
  <c r="Z28" i="28"/>
  <c r="Y28" i="24"/>
  <c r="Y43" i="24"/>
  <c r="AD28" i="28"/>
  <c r="X28" i="24"/>
  <c r="X43" i="24"/>
  <c r="AC28" i="28"/>
  <c r="W28" i="24"/>
  <c r="W43" i="24"/>
  <c r="AB28" i="28"/>
  <c r="V28" i="24"/>
  <c r="V43" i="24"/>
  <c r="AA43" i="24"/>
  <c r="AA28" i="28"/>
  <c r="U28" i="24"/>
  <c r="U43" i="24"/>
  <c r="J28" i="24"/>
  <c r="J43" i="24"/>
  <c r="M43" i="24"/>
  <c r="Z27" i="28"/>
  <c r="Y27" i="24"/>
  <c r="Y62" i="24"/>
  <c r="AD27" i="28"/>
  <c r="X27" i="24"/>
  <c r="X62" i="24"/>
  <c r="AC27" i="28"/>
  <c r="W27" i="24"/>
  <c r="W76" i="24"/>
  <c r="AB27" i="28"/>
  <c r="V27" i="24"/>
  <c r="V76" i="24"/>
  <c r="AA27" i="28"/>
  <c r="U27" i="24"/>
  <c r="U62" i="24"/>
  <c r="J27" i="24"/>
  <c r="J62" i="24"/>
  <c r="Z26" i="28"/>
  <c r="Y26" i="24"/>
  <c r="Y36" i="24"/>
  <c r="AD26" i="28"/>
  <c r="X26" i="24"/>
  <c r="X36" i="24"/>
  <c r="AC26" i="28"/>
  <c r="W26" i="24"/>
  <c r="W36" i="24"/>
  <c r="AB36" i="24"/>
  <c r="AB26" i="28"/>
  <c r="V26" i="24"/>
  <c r="V36" i="24"/>
  <c r="AA36" i="24"/>
  <c r="AA26" i="28"/>
  <c r="U26" i="24"/>
  <c r="U36" i="24"/>
  <c r="Z36" i="24"/>
  <c r="J26" i="24"/>
  <c r="J36" i="24"/>
  <c r="Z25" i="28"/>
  <c r="Y25" i="24"/>
  <c r="Y50" i="24"/>
  <c r="AD25" i="28"/>
  <c r="X25" i="24"/>
  <c r="X50" i="24"/>
  <c r="AC25" i="28"/>
  <c r="W25" i="24"/>
  <c r="W64" i="24"/>
  <c r="AB25" i="28"/>
  <c r="V25" i="24"/>
  <c r="V64" i="24"/>
  <c r="AA25" i="28"/>
  <c r="U25" i="24"/>
  <c r="U50" i="24"/>
  <c r="J25" i="24"/>
  <c r="J50" i="24"/>
  <c r="Z24" i="28"/>
  <c r="Y24" i="24"/>
  <c r="Y69" i="24"/>
  <c r="AD24" i="28"/>
  <c r="X24" i="24"/>
  <c r="X69" i="24"/>
  <c r="AC24" i="28"/>
  <c r="W24" i="24"/>
  <c r="W55" i="24"/>
  <c r="AB24" i="28"/>
  <c r="V24" i="24"/>
  <c r="V55" i="24"/>
  <c r="AA24" i="28"/>
  <c r="U24" i="24"/>
  <c r="U69" i="24"/>
  <c r="J24" i="24"/>
  <c r="J69" i="24"/>
  <c r="Z23" i="28"/>
  <c r="Y23" i="24"/>
  <c r="Y49" i="24"/>
  <c r="AD23" i="28"/>
  <c r="X23" i="24"/>
  <c r="X49" i="24"/>
  <c r="AC23" i="28"/>
  <c r="W23" i="24"/>
  <c r="W49" i="24"/>
  <c r="AB23" i="28"/>
  <c r="V23" i="24"/>
  <c r="V49" i="24"/>
  <c r="AA23" i="28"/>
  <c r="U23" i="24"/>
  <c r="U49" i="24"/>
  <c r="J23" i="24"/>
  <c r="J49" i="24"/>
  <c r="Z22" i="28"/>
  <c r="Y22" i="24"/>
  <c r="Y37" i="24"/>
  <c r="AD22" i="28"/>
  <c r="X22" i="24"/>
  <c r="X37" i="24"/>
  <c r="AC22" i="28"/>
  <c r="W22" i="24"/>
  <c r="W37" i="24"/>
  <c r="AB22" i="28"/>
  <c r="V22" i="24"/>
  <c r="V37" i="24"/>
  <c r="AA22" i="28"/>
  <c r="U22" i="24"/>
  <c r="U37" i="24"/>
  <c r="Z37" i="24"/>
  <c r="J22" i="24"/>
  <c r="J37" i="24"/>
  <c r="Z21" i="28"/>
  <c r="Y21" i="24"/>
  <c r="Y65" i="24"/>
  <c r="AD21" i="28"/>
  <c r="X21" i="24"/>
  <c r="X65" i="24"/>
  <c r="AC21" i="28"/>
  <c r="W21" i="24"/>
  <c r="W51" i="24"/>
  <c r="AB21" i="28"/>
  <c r="V21" i="24"/>
  <c r="V51" i="24"/>
  <c r="AA21" i="28"/>
  <c r="U21" i="24"/>
  <c r="U65" i="24"/>
  <c r="Z65" i="24"/>
  <c r="J21" i="24"/>
  <c r="J65" i="24"/>
  <c r="Z20" i="28"/>
  <c r="Y20" i="24"/>
  <c r="Y56" i="24"/>
  <c r="AD20" i="28"/>
  <c r="X20" i="24"/>
  <c r="X56" i="24"/>
  <c r="AC20" i="28"/>
  <c r="W20" i="24"/>
  <c r="W70" i="24"/>
  <c r="AB20" i="28"/>
  <c r="V20" i="24"/>
  <c r="V70" i="24"/>
  <c r="AA20" i="28"/>
  <c r="U20" i="24"/>
  <c r="U56" i="24"/>
  <c r="J20" i="24"/>
  <c r="J56" i="24"/>
  <c r="Z19" i="28"/>
  <c r="Y19" i="24"/>
  <c r="Y42" i="24"/>
  <c r="AD19" i="28"/>
  <c r="X19" i="24"/>
  <c r="X42" i="24"/>
  <c r="AC19" i="28"/>
  <c r="W19" i="24"/>
  <c r="W42" i="24"/>
  <c r="AB19" i="28"/>
  <c r="V19" i="24"/>
  <c r="V42" i="24"/>
  <c r="AA19" i="28"/>
  <c r="U19" i="24"/>
  <c r="U42" i="24"/>
  <c r="Z42" i="24"/>
  <c r="J19" i="24"/>
  <c r="J42" i="24"/>
  <c r="Z18" i="28"/>
  <c r="Y18" i="24"/>
  <c r="Y75" i="24"/>
  <c r="AD18" i="28"/>
  <c r="X18" i="24"/>
  <c r="X75" i="24"/>
  <c r="AC18" i="28"/>
  <c r="W18" i="24"/>
  <c r="W61" i="24"/>
  <c r="AB18" i="28"/>
  <c r="V18" i="24"/>
  <c r="V61" i="24"/>
  <c r="AA18" i="28"/>
  <c r="U18" i="24"/>
  <c r="U75" i="24"/>
  <c r="J18" i="24"/>
  <c r="J75" i="24"/>
  <c r="Z17" i="28"/>
  <c r="Y17" i="24"/>
  <c r="Y52" i="24"/>
  <c r="AD52" i="24"/>
  <c r="AD17" i="28"/>
  <c r="X17" i="24"/>
  <c r="X52" i="24"/>
  <c r="AC17" i="28"/>
  <c r="W17" i="24"/>
  <c r="W66" i="24"/>
  <c r="AB17" i="28"/>
  <c r="V17" i="24"/>
  <c r="V66" i="24"/>
  <c r="AA17" i="28"/>
  <c r="U17" i="24"/>
  <c r="U52" i="24"/>
  <c r="J17" i="24"/>
  <c r="J52" i="24"/>
  <c r="Z16" i="28"/>
  <c r="Y16" i="24"/>
  <c r="Y58" i="24"/>
  <c r="AD16" i="28"/>
  <c r="X16" i="24"/>
  <c r="X58" i="24"/>
  <c r="AC16" i="28"/>
  <c r="W16" i="24"/>
  <c r="W72" i="24"/>
  <c r="AB16" i="28"/>
  <c r="V16" i="24"/>
  <c r="V72" i="24"/>
  <c r="AA16" i="28"/>
  <c r="U16" i="24"/>
  <c r="U58" i="24"/>
  <c r="J16" i="24"/>
  <c r="J58" i="24"/>
  <c r="Z15" i="28"/>
  <c r="Y15" i="24"/>
  <c r="Y44" i="24"/>
  <c r="AD15" i="28"/>
  <c r="X15" i="24"/>
  <c r="X44" i="24"/>
  <c r="AC15" i="28"/>
  <c r="W15" i="24"/>
  <c r="W44" i="24"/>
  <c r="AB44" i="24"/>
  <c r="AB15" i="28"/>
  <c r="V15" i="24"/>
  <c r="V44" i="24"/>
  <c r="AA15" i="28"/>
  <c r="U15" i="24"/>
  <c r="U44" i="24"/>
  <c r="J15" i="24"/>
  <c r="J44" i="24"/>
  <c r="Z14" i="28"/>
  <c r="Y14" i="24"/>
  <c r="Y34" i="24"/>
  <c r="AD14" i="28"/>
  <c r="X14" i="24"/>
  <c r="X34" i="24"/>
  <c r="AC14" i="28"/>
  <c r="W14" i="24"/>
  <c r="W34" i="24"/>
  <c r="AB34" i="24"/>
  <c r="AB14" i="28"/>
  <c r="V14" i="24"/>
  <c r="V34" i="24"/>
  <c r="AA14" i="28"/>
  <c r="U14" i="24"/>
  <c r="U34" i="24"/>
  <c r="J14" i="24"/>
  <c r="J34" i="24"/>
  <c r="N34" i="24"/>
  <c r="Z13" i="28"/>
  <c r="Y13" i="24"/>
  <c r="Y33" i="24"/>
  <c r="AD33" i="24"/>
  <c r="AD13" i="28"/>
  <c r="X13" i="24"/>
  <c r="X33" i="24"/>
  <c r="AC13" i="28"/>
  <c r="W13" i="24"/>
  <c r="W33" i="24"/>
  <c r="AB13" i="28"/>
  <c r="V13" i="24"/>
  <c r="V33" i="24"/>
  <c r="AA13" i="28"/>
  <c r="U13" i="24"/>
  <c r="U33" i="24"/>
  <c r="Z33" i="24"/>
  <c r="J13" i="24"/>
  <c r="J33" i="24"/>
  <c r="Z12" i="28"/>
  <c r="Y12" i="24"/>
  <c r="Y60" i="24"/>
  <c r="AD12" i="28"/>
  <c r="X12" i="24"/>
  <c r="X60" i="24"/>
  <c r="AC12" i="28"/>
  <c r="W12" i="24"/>
  <c r="W74" i="24"/>
  <c r="AB12" i="28"/>
  <c r="V12" i="24"/>
  <c r="V74" i="24"/>
  <c r="AA12" i="28"/>
  <c r="U12" i="24"/>
  <c r="U60" i="24"/>
  <c r="J12" i="24"/>
  <c r="J60" i="24"/>
  <c r="Z11" i="28"/>
  <c r="Y11" i="24"/>
  <c r="Y39" i="24"/>
  <c r="AD11" i="28"/>
  <c r="X11" i="24"/>
  <c r="X39" i="24"/>
  <c r="AC11" i="28"/>
  <c r="W11" i="24"/>
  <c r="W39" i="24"/>
  <c r="AB11" i="28"/>
  <c r="V11" i="24"/>
  <c r="V39" i="24"/>
  <c r="AA39" i="24"/>
  <c r="AA11" i="28"/>
  <c r="U11" i="24"/>
  <c r="U39" i="24"/>
  <c r="J11" i="24"/>
  <c r="J39" i="24"/>
  <c r="M39" i="24"/>
  <c r="Z10" i="28"/>
  <c r="Y10" i="24"/>
  <c r="Y46" i="24"/>
  <c r="AD10" i="28"/>
  <c r="X10" i="24"/>
  <c r="X46" i="24"/>
  <c r="AC10" i="28"/>
  <c r="W10" i="24"/>
  <c r="W46" i="24"/>
  <c r="AB10" i="28"/>
  <c r="V10" i="24"/>
  <c r="V46" i="24"/>
  <c r="AA46" i="24"/>
  <c r="AA10" i="28"/>
  <c r="U10" i="24"/>
  <c r="U46" i="24"/>
  <c r="J10" i="24"/>
  <c r="J46" i="24"/>
  <c r="F10" i="24"/>
  <c r="E10" i="24"/>
  <c r="Z9" i="28"/>
  <c r="Y9" i="24"/>
  <c r="Y54" i="24"/>
  <c r="AD9" i="28"/>
  <c r="X9" i="24"/>
  <c r="X54" i="24"/>
  <c r="AC9" i="28"/>
  <c r="W9" i="24"/>
  <c r="W68" i="24"/>
  <c r="AB9" i="28"/>
  <c r="V9" i="24"/>
  <c r="V68" i="24"/>
  <c r="AA9" i="28"/>
  <c r="U9" i="24"/>
  <c r="U54" i="24"/>
  <c r="J9" i="24"/>
  <c r="J54" i="24"/>
  <c r="Z8" i="28"/>
  <c r="Y8" i="24"/>
  <c r="Y41" i="24"/>
  <c r="AD8" i="28"/>
  <c r="X8" i="24"/>
  <c r="X41" i="24"/>
  <c r="AC41" i="24"/>
  <c r="AC8" i="28"/>
  <c r="W8" i="24"/>
  <c r="W41" i="24"/>
  <c r="AB8" i="28"/>
  <c r="V8" i="24"/>
  <c r="V41" i="24"/>
  <c r="AA8" i="28"/>
  <c r="U8" i="24"/>
  <c r="U41" i="24"/>
  <c r="J8" i="24"/>
  <c r="J41" i="24"/>
  <c r="Z7" i="28"/>
  <c r="Y7" i="24"/>
  <c r="Y73" i="24"/>
  <c r="AD7" i="28"/>
  <c r="X7" i="24"/>
  <c r="X73" i="24"/>
  <c r="AC7" i="28"/>
  <c r="W7" i="24"/>
  <c r="W59" i="24"/>
  <c r="AB7" i="28"/>
  <c r="V7" i="24"/>
  <c r="V59" i="24"/>
  <c r="AA7" i="28"/>
  <c r="U7" i="24"/>
  <c r="U73" i="24"/>
  <c r="J7" i="24"/>
  <c r="J73" i="24"/>
  <c r="Z6" i="28"/>
  <c r="Y6" i="24"/>
  <c r="Y47" i="24"/>
  <c r="AD47" i="24"/>
  <c r="AD6" i="28"/>
  <c r="X6" i="24"/>
  <c r="X47" i="24"/>
  <c r="AC6" i="28"/>
  <c r="W6" i="24"/>
  <c r="W47" i="24"/>
  <c r="AB6" i="28"/>
  <c r="V6" i="24"/>
  <c r="V47" i="24"/>
  <c r="AA6" i="28"/>
  <c r="U6" i="24"/>
  <c r="U47" i="24"/>
  <c r="J6" i="24"/>
  <c r="J47" i="24"/>
  <c r="M47" i="24"/>
  <c r="F6" i="24"/>
  <c r="E6" i="24"/>
  <c r="Z5" i="28"/>
  <c r="Y5" i="24"/>
  <c r="Y67" i="24"/>
  <c r="AD67" i="24"/>
  <c r="AD5" i="28"/>
  <c r="X5" i="24"/>
  <c r="X67" i="24"/>
  <c r="AC5" i="28"/>
  <c r="W5" i="24"/>
  <c r="W53" i="24"/>
  <c r="AB53" i="24"/>
  <c r="AB5" i="28"/>
  <c r="V5" i="24"/>
  <c r="V53" i="24"/>
  <c r="AA5" i="28"/>
  <c r="U5" i="24"/>
  <c r="U67" i="24"/>
  <c r="J5" i="24"/>
  <c r="J67" i="24"/>
  <c r="Z4" i="28"/>
  <c r="Y4" i="24"/>
  <c r="Y40" i="24"/>
  <c r="AD4" i="28"/>
  <c r="X4" i="24"/>
  <c r="X40" i="24"/>
  <c r="AC4" i="28"/>
  <c r="W4" i="24"/>
  <c r="W40" i="24"/>
  <c r="AB4" i="28"/>
  <c r="V4" i="24"/>
  <c r="V40" i="24"/>
  <c r="AA4" i="28"/>
  <c r="U4" i="24"/>
  <c r="U40" i="24"/>
  <c r="J4" i="24"/>
  <c r="J40" i="24"/>
  <c r="M40" i="24"/>
  <c r="Z3" i="28"/>
  <c r="Y3" i="24"/>
  <c r="Y32" i="24"/>
  <c r="AD3" i="28"/>
  <c r="X3" i="24"/>
  <c r="X32" i="24"/>
  <c r="AC3" i="28"/>
  <c r="W3" i="24"/>
  <c r="W32" i="24"/>
  <c r="AB3" i="28"/>
  <c r="V3" i="24"/>
  <c r="V32" i="24"/>
  <c r="AA3" i="28"/>
  <c r="U3" i="24"/>
  <c r="U32" i="24"/>
  <c r="J3" i="24"/>
  <c r="J32" i="24"/>
  <c r="Z2" i="28"/>
  <c r="Y2" i="24"/>
  <c r="Y38" i="24"/>
  <c r="AD2" i="28"/>
  <c r="X2" i="24"/>
  <c r="X38" i="24"/>
  <c r="AC38" i="24"/>
  <c r="AC2" i="28"/>
  <c r="W2" i="24"/>
  <c r="W38" i="24"/>
  <c r="AB2" i="28"/>
  <c r="V2" i="24"/>
  <c r="V38" i="24"/>
  <c r="AA2" i="28"/>
  <c r="U2" i="24"/>
  <c r="U38" i="24"/>
  <c r="J2" i="24"/>
  <c r="J38" i="24"/>
  <c r="M38" i="24"/>
  <c r="AB61" i="24"/>
  <c r="AK55" i="24"/>
  <c r="Z54" i="24"/>
  <c r="L52" i="24"/>
  <c r="K49" i="24"/>
  <c r="AB46" i="24"/>
  <c r="F46" i="24"/>
  <c r="L45" i="24"/>
  <c r="AL44" i="24"/>
  <c r="AJ44" i="24"/>
  <c r="AA44" i="24"/>
  <c r="K44" i="24"/>
  <c r="AK43" i="24"/>
  <c r="AC43" i="24"/>
  <c r="AK42" i="24"/>
  <c r="AA42" i="24"/>
  <c r="L42" i="24"/>
  <c r="AB41" i="24"/>
  <c r="AJ40" i="24"/>
  <c r="AJ39" i="24"/>
  <c r="K39" i="24"/>
  <c r="L38" i="24"/>
  <c r="M37" i="24"/>
  <c r="L37" i="24"/>
  <c r="AC36" i="24"/>
  <c r="K36" i="24"/>
  <c r="L35" i="24"/>
  <c r="AK34" i="24"/>
  <c r="AC34" i="24"/>
  <c r="M34" i="24"/>
  <c r="AJ33" i="24"/>
  <c r="AA33" i="24"/>
  <c r="L33" i="24"/>
  <c r="AK32" i="24"/>
  <c r="AK35" i="24"/>
  <c r="AD35" i="24"/>
  <c r="AB35" i="24"/>
  <c r="Z35" i="24"/>
  <c r="M35" i="24"/>
  <c r="G30" i="24"/>
  <c r="AD43" i="24"/>
  <c r="AB43" i="24"/>
  <c r="Z43" i="24"/>
  <c r="L43" i="24"/>
  <c r="AK36" i="24"/>
  <c r="AJ36" i="24"/>
  <c r="AD36" i="24"/>
  <c r="M36" i="24"/>
  <c r="L36" i="24"/>
  <c r="AK69" i="24"/>
  <c r="AA55" i="24"/>
  <c r="M69" i="24"/>
  <c r="AK37" i="24"/>
  <c r="AL37" i="24"/>
  <c r="AD37" i="24"/>
  <c r="AC37" i="24"/>
  <c r="AB37" i="24"/>
  <c r="AA37" i="24"/>
  <c r="K37" i="24"/>
  <c r="AK65" i="24"/>
  <c r="M65" i="24"/>
  <c r="L70" i="24"/>
  <c r="AD42" i="24"/>
  <c r="AC42" i="24"/>
  <c r="AB42" i="24"/>
  <c r="M42" i="24"/>
  <c r="AK75" i="24"/>
  <c r="AC75" i="24"/>
  <c r="L61" i="24"/>
  <c r="AK52" i="24"/>
  <c r="L66" i="24"/>
  <c r="AA72" i="24"/>
  <c r="AK44" i="24"/>
  <c r="AD44" i="24"/>
  <c r="AC44" i="24"/>
  <c r="Z44" i="24"/>
  <c r="M44" i="24"/>
  <c r="L44" i="24"/>
  <c r="N44" i="24"/>
  <c r="AD34" i="24"/>
  <c r="AA34" i="24"/>
  <c r="Z34" i="24"/>
  <c r="L34" i="24"/>
  <c r="K34" i="24"/>
  <c r="AK31" i="24"/>
  <c r="AC33" i="24"/>
  <c r="AB33" i="24"/>
  <c r="M33" i="24"/>
  <c r="M60" i="24"/>
  <c r="L74" i="24"/>
  <c r="AK39" i="24"/>
  <c r="AD39" i="24"/>
  <c r="AC39" i="24"/>
  <c r="AB39" i="24"/>
  <c r="Z39" i="24"/>
  <c r="L39" i="24"/>
  <c r="N39" i="24"/>
  <c r="L46" i="24"/>
  <c r="E46" i="24"/>
  <c r="AA68" i="24"/>
  <c r="G9" i="24"/>
  <c r="AK41" i="24"/>
  <c r="AD41" i="24"/>
  <c r="AA41" i="24"/>
  <c r="Z41" i="24"/>
  <c r="M41" i="24"/>
  <c r="L41" i="24"/>
  <c r="N41" i="24"/>
  <c r="AK73" i="24"/>
  <c r="M73" i="24"/>
  <c r="AK47" i="24"/>
  <c r="AC47" i="24"/>
  <c r="AB47" i="24"/>
  <c r="AA47" i="24"/>
  <c r="Z47" i="24"/>
  <c r="L47" i="24"/>
  <c r="F47" i="24"/>
  <c r="E47" i="24"/>
  <c r="G5" i="24"/>
  <c r="AK40" i="24"/>
  <c r="AD40" i="24"/>
  <c r="AC40" i="24"/>
  <c r="AB40" i="24"/>
  <c r="AA40" i="24"/>
  <c r="Z40" i="24"/>
  <c r="L40" i="24"/>
  <c r="AA32" i="24"/>
  <c r="G3" i="24"/>
  <c r="AK38" i="24"/>
  <c r="AD38" i="24"/>
  <c r="AB38" i="24"/>
  <c r="AA38" i="24"/>
  <c r="Z38" i="24"/>
  <c r="N6" i="3"/>
  <c r="AR10" i="14"/>
  <c r="AR46" i="14"/>
  <c r="AS10" i="14"/>
  <c r="AS46" i="14"/>
  <c r="AR6" i="14"/>
  <c r="AR47" i="14"/>
  <c r="AS6" i="14"/>
  <c r="AS47" i="14"/>
  <c r="AV45" i="14"/>
  <c r="AG23" i="8"/>
  <c r="AG49" i="8"/>
  <c r="AH23" i="8"/>
  <c r="AH49" i="8"/>
  <c r="AG25" i="8"/>
  <c r="AG50" i="8"/>
  <c r="AH25" i="8"/>
  <c r="AH50" i="8"/>
  <c r="AG21" i="8"/>
  <c r="AG51" i="8"/>
  <c r="AH21" i="8"/>
  <c r="AH51" i="8"/>
  <c r="AG17" i="8"/>
  <c r="AG52" i="8"/>
  <c r="AH17" i="8"/>
  <c r="AH52" i="8"/>
  <c r="AG5" i="8"/>
  <c r="AG53" i="8"/>
  <c r="AH5" i="8"/>
  <c r="AH53" i="8"/>
  <c r="AG9" i="8"/>
  <c r="AG54" i="8"/>
  <c r="AH9" i="8"/>
  <c r="AH54" i="8"/>
  <c r="AG24" i="8"/>
  <c r="AG55" i="8"/>
  <c r="AH24" i="8"/>
  <c r="AH55" i="8"/>
  <c r="AG20" i="8"/>
  <c r="AG56" i="8"/>
  <c r="AH20" i="8"/>
  <c r="AH56" i="8"/>
  <c r="AG29" i="8"/>
  <c r="AG57" i="8"/>
  <c r="AH29" i="8"/>
  <c r="AH57" i="8"/>
  <c r="AG16" i="8"/>
  <c r="AG58" i="8"/>
  <c r="AH16" i="8"/>
  <c r="AH58" i="8"/>
  <c r="AG7" i="8"/>
  <c r="AG59" i="8"/>
  <c r="AH7" i="8"/>
  <c r="AH59" i="8"/>
  <c r="AG12" i="8"/>
  <c r="AG60" i="8"/>
  <c r="AH12" i="8"/>
  <c r="AH60" i="8"/>
  <c r="AG18" i="8"/>
  <c r="AG61" i="8"/>
  <c r="AH18" i="8"/>
  <c r="AH61" i="8"/>
  <c r="AG27" i="8"/>
  <c r="AG62" i="8"/>
  <c r="AH27" i="8"/>
  <c r="AH62" i="8"/>
  <c r="AK48" i="8"/>
  <c r="AG10" i="8"/>
  <c r="AG46" i="8"/>
  <c r="AH10" i="8"/>
  <c r="AH46" i="8"/>
  <c r="AG6" i="8"/>
  <c r="AG47" i="8"/>
  <c r="AH6" i="8"/>
  <c r="AH47" i="8"/>
  <c r="AK45" i="8"/>
  <c r="AA3" i="6"/>
  <c r="O3" i="8"/>
  <c r="AB3" i="6"/>
  <c r="P3" i="8"/>
  <c r="AC3" i="6"/>
  <c r="Q3" i="8"/>
  <c r="AD3" i="6"/>
  <c r="R3" i="8"/>
  <c r="R32" i="8"/>
  <c r="Z3" i="6"/>
  <c r="S3" i="8"/>
  <c r="AA4" i="6"/>
  <c r="O4" i="8"/>
  <c r="AB4" i="6"/>
  <c r="P4" i="8"/>
  <c r="AC4" i="6"/>
  <c r="Q4" i="8"/>
  <c r="AD4" i="6"/>
  <c r="R4" i="8"/>
  <c r="Z4" i="6"/>
  <c r="S4" i="8"/>
  <c r="AA5" i="6"/>
  <c r="O5" i="8"/>
  <c r="AB5" i="6"/>
  <c r="P5" i="8"/>
  <c r="AC5" i="6"/>
  <c r="Q5" i="8"/>
  <c r="AD5" i="6"/>
  <c r="R5" i="8"/>
  <c r="Z5" i="6"/>
  <c r="S5" i="8"/>
  <c r="AA6" i="6"/>
  <c r="O6" i="8"/>
  <c r="AB6" i="6"/>
  <c r="P6" i="8"/>
  <c r="AC6" i="6"/>
  <c r="Q6" i="8"/>
  <c r="AD6" i="6"/>
  <c r="R6" i="8"/>
  <c r="Z6" i="6"/>
  <c r="S6" i="8"/>
  <c r="S47" i="8"/>
  <c r="AA7" i="6"/>
  <c r="O7" i="8"/>
  <c r="AB7" i="6"/>
  <c r="P7" i="8"/>
  <c r="AC7" i="6"/>
  <c r="Q7" i="8"/>
  <c r="AD7" i="6"/>
  <c r="R7" i="8"/>
  <c r="Z7" i="6"/>
  <c r="S7" i="8"/>
  <c r="AA8" i="6"/>
  <c r="O8" i="8"/>
  <c r="AB8" i="6"/>
  <c r="P8" i="8"/>
  <c r="AC8" i="6"/>
  <c r="Q8" i="8"/>
  <c r="AD8" i="6"/>
  <c r="R8" i="8"/>
  <c r="Z8" i="6"/>
  <c r="S8" i="8"/>
  <c r="AA9" i="6"/>
  <c r="O9" i="8"/>
  <c r="AB9" i="6"/>
  <c r="P9" i="8"/>
  <c r="AC9" i="6"/>
  <c r="Q9" i="8"/>
  <c r="AD9" i="6"/>
  <c r="R9" i="8"/>
  <c r="Z9" i="6"/>
  <c r="S9" i="8"/>
  <c r="AA10" i="6"/>
  <c r="O10" i="8"/>
  <c r="AB10" i="6"/>
  <c r="P10" i="8"/>
  <c r="AC10" i="6"/>
  <c r="Q10" i="8"/>
  <c r="AD10" i="6"/>
  <c r="R10" i="8"/>
  <c r="Z10" i="6"/>
  <c r="S10" i="8"/>
  <c r="S46" i="8"/>
  <c r="AA11" i="6"/>
  <c r="O11" i="8"/>
  <c r="AB11" i="6"/>
  <c r="P11" i="8"/>
  <c r="AC11" i="6"/>
  <c r="Q11" i="8"/>
  <c r="AD11" i="6"/>
  <c r="R11" i="8"/>
  <c r="R39" i="8"/>
  <c r="Z11" i="6"/>
  <c r="S11" i="8"/>
  <c r="AA12" i="6"/>
  <c r="O12" i="8"/>
  <c r="AB12" i="6"/>
  <c r="P12" i="8"/>
  <c r="AC12" i="6"/>
  <c r="Q12" i="8"/>
  <c r="AD12" i="6"/>
  <c r="R12" i="8"/>
  <c r="Z12" i="6"/>
  <c r="S12" i="8"/>
  <c r="AA13" i="6"/>
  <c r="O13" i="8"/>
  <c r="AB13" i="6"/>
  <c r="P13" i="8"/>
  <c r="P33" i="8"/>
  <c r="AC13" i="6"/>
  <c r="Q13" i="8"/>
  <c r="AD13" i="6"/>
  <c r="R13" i="8"/>
  <c r="Z13" i="6"/>
  <c r="S13" i="8"/>
  <c r="AA14" i="6"/>
  <c r="O14" i="8"/>
  <c r="AB14" i="6"/>
  <c r="P14" i="8"/>
  <c r="AC14" i="6"/>
  <c r="Q14" i="8"/>
  <c r="AD14" i="6"/>
  <c r="R14" i="8"/>
  <c r="Z14" i="6"/>
  <c r="S14" i="8"/>
  <c r="AA15" i="6"/>
  <c r="O15" i="8"/>
  <c r="AB15" i="6"/>
  <c r="P15" i="8"/>
  <c r="AC15" i="6"/>
  <c r="Q15" i="8"/>
  <c r="AD15" i="6"/>
  <c r="R15" i="8"/>
  <c r="R44" i="8"/>
  <c r="Z15" i="6"/>
  <c r="S15" i="8"/>
  <c r="AA16" i="6"/>
  <c r="O16" i="8"/>
  <c r="AB16" i="6"/>
  <c r="P16" i="8"/>
  <c r="AC16" i="6"/>
  <c r="Q16" i="8"/>
  <c r="AD16" i="6"/>
  <c r="R16" i="8"/>
  <c r="Z16" i="6"/>
  <c r="S16" i="8"/>
  <c r="AA17" i="6"/>
  <c r="O17" i="8"/>
  <c r="AB17" i="6"/>
  <c r="P17" i="8"/>
  <c r="AC17" i="6"/>
  <c r="Q17" i="8"/>
  <c r="AD17" i="6"/>
  <c r="R17" i="8"/>
  <c r="Z17" i="6"/>
  <c r="S17" i="8"/>
  <c r="AA18" i="6"/>
  <c r="O18" i="8"/>
  <c r="AB18" i="6"/>
  <c r="P18" i="8"/>
  <c r="AC18" i="6"/>
  <c r="Q18" i="8"/>
  <c r="AD18" i="6"/>
  <c r="R18" i="8"/>
  <c r="Z18" i="6"/>
  <c r="S18" i="8"/>
  <c r="AA19" i="6"/>
  <c r="O19" i="8"/>
  <c r="AB19" i="6"/>
  <c r="P19" i="8"/>
  <c r="AC19" i="6"/>
  <c r="Q19" i="8"/>
  <c r="AD19" i="6"/>
  <c r="R19" i="8"/>
  <c r="R42" i="8"/>
  <c r="Z19" i="6"/>
  <c r="S19" i="8"/>
  <c r="AA20" i="6"/>
  <c r="O20" i="8"/>
  <c r="AB20" i="6"/>
  <c r="P20" i="8"/>
  <c r="AC20" i="6"/>
  <c r="Q20" i="8"/>
  <c r="AD20" i="6"/>
  <c r="R20" i="8"/>
  <c r="Z20" i="6"/>
  <c r="S20" i="8"/>
  <c r="AA21" i="6"/>
  <c r="O21" i="8"/>
  <c r="AB21" i="6"/>
  <c r="P21" i="8"/>
  <c r="AC21" i="6"/>
  <c r="Q21" i="8"/>
  <c r="AD21" i="6"/>
  <c r="R21" i="8"/>
  <c r="Z21" i="6"/>
  <c r="S21" i="8"/>
  <c r="AA22" i="6"/>
  <c r="O22" i="8"/>
  <c r="O37" i="8"/>
  <c r="AB22" i="6"/>
  <c r="P22" i="8"/>
  <c r="AC22" i="6"/>
  <c r="Q22" i="8"/>
  <c r="AD22" i="6"/>
  <c r="R22" i="8"/>
  <c r="Z22" i="6"/>
  <c r="S22" i="8"/>
  <c r="S37" i="8"/>
  <c r="AA23" i="6"/>
  <c r="O23" i="8"/>
  <c r="AB23" i="6"/>
  <c r="P23" i="8"/>
  <c r="AC23" i="6"/>
  <c r="Q23" i="8"/>
  <c r="AD23" i="6"/>
  <c r="R23" i="8"/>
  <c r="Z23" i="6"/>
  <c r="S23" i="8"/>
  <c r="AA24" i="6"/>
  <c r="O24" i="8"/>
  <c r="AB24" i="6"/>
  <c r="P24" i="8"/>
  <c r="AC24" i="6"/>
  <c r="Q24" i="8"/>
  <c r="AD24" i="6"/>
  <c r="R24" i="8"/>
  <c r="Z24" i="6"/>
  <c r="S24" i="8"/>
  <c r="AA25" i="6"/>
  <c r="O25" i="8"/>
  <c r="AB25" i="6"/>
  <c r="P25" i="8"/>
  <c r="AC25" i="6"/>
  <c r="Q25" i="8"/>
  <c r="AD25" i="6"/>
  <c r="R25" i="8"/>
  <c r="Z25" i="6"/>
  <c r="S25" i="8"/>
  <c r="AA26" i="6"/>
  <c r="O26" i="8"/>
  <c r="AB26" i="6"/>
  <c r="P26" i="8"/>
  <c r="AC26" i="6"/>
  <c r="Q26" i="8"/>
  <c r="AD26" i="6"/>
  <c r="R26" i="8"/>
  <c r="Z26" i="6"/>
  <c r="S26" i="8"/>
  <c r="S36" i="8"/>
  <c r="AA27" i="6"/>
  <c r="O27" i="8"/>
  <c r="AB27" i="6"/>
  <c r="P27" i="8"/>
  <c r="AC27" i="6"/>
  <c r="Q27" i="8"/>
  <c r="AD27" i="6"/>
  <c r="R27" i="8"/>
  <c r="Z27" i="6"/>
  <c r="S27" i="8"/>
  <c r="AA28" i="6"/>
  <c r="O28" i="8"/>
  <c r="AB28" i="6"/>
  <c r="P28" i="8"/>
  <c r="AC28" i="6"/>
  <c r="Q28" i="8"/>
  <c r="Q43" i="8"/>
  <c r="AD28" i="6"/>
  <c r="R28" i="8"/>
  <c r="Z28" i="6"/>
  <c r="S28" i="8"/>
  <c r="AA29" i="6"/>
  <c r="O29" i="8"/>
  <c r="AB29" i="6"/>
  <c r="P29" i="8"/>
  <c r="AC29" i="6"/>
  <c r="Q29" i="8"/>
  <c r="AD29" i="6"/>
  <c r="R29" i="8"/>
  <c r="Z29" i="6"/>
  <c r="S29" i="8"/>
  <c r="AA30" i="6"/>
  <c r="O30" i="8"/>
  <c r="AB30" i="6"/>
  <c r="P30" i="8"/>
  <c r="AC30" i="6"/>
  <c r="Q30" i="8"/>
  <c r="AD30" i="6"/>
  <c r="R30" i="8"/>
  <c r="Z30" i="6"/>
  <c r="S30" i="8"/>
  <c r="S35" i="8"/>
  <c r="Z2" i="6"/>
  <c r="S2" i="8"/>
  <c r="AD2" i="6"/>
  <c r="R2" i="8"/>
  <c r="AC2" i="6"/>
  <c r="Q2" i="8"/>
  <c r="AB2" i="6"/>
  <c r="P2" i="8"/>
  <c r="AA2" i="6"/>
  <c r="O2" i="8"/>
  <c r="J3" i="8"/>
  <c r="J4" i="8"/>
  <c r="J5" i="8"/>
  <c r="J6" i="8"/>
  <c r="J47" i="8"/>
  <c r="M47" i="8"/>
  <c r="J7" i="8"/>
  <c r="J8" i="8"/>
  <c r="J9" i="8"/>
  <c r="J10" i="8"/>
  <c r="J11" i="8"/>
  <c r="J12" i="8"/>
  <c r="J13" i="8"/>
  <c r="J33" i="8"/>
  <c r="M33" i="8"/>
  <c r="J14" i="8"/>
  <c r="J34" i="8"/>
  <c r="M34" i="8"/>
  <c r="J15" i="8"/>
  <c r="J16" i="8"/>
  <c r="J17" i="8"/>
  <c r="J18" i="8"/>
  <c r="J19" i="8"/>
  <c r="J20" i="8"/>
  <c r="J21" i="8"/>
  <c r="J22" i="8"/>
  <c r="J37" i="8"/>
  <c r="M37" i="8"/>
  <c r="J23" i="8"/>
  <c r="J24" i="8"/>
  <c r="J25" i="8"/>
  <c r="J26" i="8"/>
  <c r="J36" i="8"/>
  <c r="M36" i="8"/>
  <c r="J27" i="8"/>
  <c r="J28" i="8"/>
  <c r="J29" i="8"/>
  <c r="J30" i="8"/>
  <c r="J35" i="8"/>
  <c r="M35" i="8"/>
  <c r="J2" i="8"/>
  <c r="AH30" i="8"/>
  <c r="AG30" i="8"/>
  <c r="X30" i="8"/>
  <c r="W30" i="8"/>
  <c r="W35" i="8"/>
  <c r="AB35" i="8"/>
  <c r="V30" i="8"/>
  <c r="U30" i="8"/>
  <c r="T30" i="8"/>
  <c r="T35" i="8"/>
  <c r="Y35" i="8"/>
  <c r="X29" i="8"/>
  <c r="W29" i="8"/>
  <c r="V29" i="8"/>
  <c r="U29" i="8"/>
  <c r="T29" i="8"/>
  <c r="AH28" i="8"/>
  <c r="AG28" i="8"/>
  <c r="X28" i="8"/>
  <c r="X43" i="8"/>
  <c r="AC43" i="8"/>
  <c r="W28" i="8"/>
  <c r="W43" i="8"/>
  <c r="AB43" i="8"/>
  <c r="V28" i="8"/>
  <c r="U28" i="8"/>
  <c r="T28" i="8"/>
  <c r="T43" i="8"/>
  <c r="Y43" i="8"/>
  <c r="J43" i="8"/>
  <c r="M43" i="8"/>
  <c r="X27" i="8"/>
  <c r="W27" i="8"/>
  <c r="V27" i="8"/>
  <c r="U27" i="8"/>
  <c r="T27" i="8"/>
  <c r="AH26" i="8"/>
  <c r="AG26" i="8"/>
  <c r="X26" i="8"/>
  <c r="W26" i="8"/>
  <c r="V26" i="8"/>
  <c r="U26" i="8"/>
  <c r="T26" i="8"/>
  <c r="X25" i="8"/>
  <c r="W25" i="8"/>
  <c r="V25" i="8"/>
  <c r="U25" i="8"/>
  <c r="T25" i="8"/>
  <c r="X24" i="8"/>
  <c r="W24" i="8"/>
  <c r="V24" i="8"/>
  <c r="U24" i="8"/>
  <c r="T24" i="8"/>
  <c r="X23" i="8"/>
  <c r="X49" i="8"/>
  <c r="W23" i="8"/>
  <c r="W49" i="8"/>
  <c r="V23" i="8"/>
  <c r="U23" i="8"/>
  <c r="T23" i="8"/>
  <c r="AH22" i="8"/>
  <c r="AG22" i="8"/>
  <c r="X22" i="8"/>
  <c r="X37" i="8"/>
  <c r="AC37" i="8"/>
  <c r="W22" i="8"/>
  <c r="V22" i="8"/>
  <c r="U22" i="8"/>
  <c r="T22" i="8"/>
  <c r="X21" i="8"/>
  <c r="W21" i="8"/>
  <c r="V21" i="8"/>
  <c r="U21" i="8"/>
  <c r="T21" i="8"/>
  <c r="X20" i="8"/>
  <c r="W20" i="8"/>
  <c r="V20" i="8"/>
  <c r="U20" i="8"/>
  <c r="T20" i="8"/>
  <c r="AH19" i="8"/>
  <c r="AG19" i="8"/>
  <c r="X19" i="8"/>
  <c r="X42" i="8"/>
  <c r="AC42" i="8"/>
  <c r="W19" i="8"/>
  <c r="W42" i="8"/>
  <c r="AB42" i="8"/>
  <c r="V19" i="8"/>
  <c r="U19" i="8"/>
  <c r="T19" i="8"/>
  <c r="X18" i="8"/>
  <c r="W18" i="8"/>
  <c r="V18" i="8"/>
  <c r="U18" i="8"/>
  <c r="T18" i="8"/>
  <c r="X17" i="8"/>
  <c r="W17" i="8"/>
  <c r="V17" i="8"/>
  <c r="U17" i="8"/>
  <c r="T17" i="8"/>
  <c r="X16" i="8"/>
  <c r="W16" i="8"/>
  <c r="V16" i="8"/>
  <c r="U16" i="8"/>
  <c r="T16" i="8"/>
  <c r="AH15" i="8"/>
  <c r="AG15" i="8"/>
  <c r="X15" i="8"/>
  <c r="W15" i="8"/>
  <c r="V15" i="8"/>
  <c r="U15" i="8"/>
  <c r="T15" i="8"/>
  <c r="T44" i="8"/>
  <c r="Y44" i="8"/>
  <c r="J44" i="8"/>
  <c r="M44" i="8"/>
  <c r="AH14" i="8"/>
  <c r="AG14" i="8"/>
  <c r="X14" i="8"/>
  <c r="W14" i="8"/>
  <c r="W34" i="8"/>
  <c r="AB34" i="8"/>
  <c r="V14" i="8"/>
  <c r="U14" i="8"/>
  <c r="T14" i="8"/>
  <c r="T34" i="8"/>
  <c r="Y34" i="8"/>
  <c r="AH13" i="8"/>
  <c r="AG13" i="8"/>
  <c r="X13" i="8"/>
  <c r="W13" i="8"/>
  <c r="W33" i="8"/>
  <c r="AB33" i="8"/>
  <c r="V13" i="8"/>
  <c r="U13" i="8"/>
  <c r="T13" i="8"/>
  <c r="T33" i="8"/>
  <c r="Y33" i="8"/>
  <c r="X12" i="8"/>
  <c r="W12" i="8"/>
  <c r="V12" i="8"/>
  <c r="U12" i="8"/>
  <c r="T12" i="8"/>
  <c r="AH11" i="8"/>
  <c r="AG11" i="8"/>
  <c r="X11" i="8"/>
  <c r="X39" i="8"/>
  <c r="AC39" i="8"/>
  <c r="W11" i="8"/>
  <c r="W39" i="8"/>
  <c r="AB39" i="8"/>
  <c r="V11" i="8"/>
  <c r="U11" i="8"/>
  <c r="T11" i="8"/>
  <c r="T39" i="8"/>
  <c r="Y39" i="8"/>
  <c r="J39" i="8"/>
  <c r="M39" i="8"/>
  <c r="X10" i="8"/>
  <c r="W10" i="8"/>
  <c r="V10" i="8"/>
  <c r="U10" i="8"/>
  <c r="T10" i="8"/>
  <c r="J46" i="8"/>
  <c r="X9" i="8"/>
  <c r="W9" i="8"/>
  <c r="V9" i="8"/>
  <c r="U9" i="8"/>
  <c r="T9" i="8"/>
  <c r="AH8" i="8"/>
  <c r="AG8" i="8"/>
  <c r="X8" i="8"/>
  <c r="W8" i="8"/>
  <c r="V8" i="8"/>
  <c r="U8" i="8"/>
  <c r="T8" i="8"/>
  <c r="T41" i="8"/>
  <c r="Y41" i="8"/>
  <c r="J41" i="8"/>
  <c r="M41" i="8"/>
  <c r="X7" i="8"/>
  <c r="W7" i="8"/>
  <c r="V7" i="8"/>
  <c r="U7" i="8"/>
  <c r="T7" i="8"/>
  <c r="X6" i="8"/>
  <c r="X47" i="8"/>
  <c r="AC47" i="8"/>
  <c r="W6" i="8"/>
  <c r="W47" i="8"/>
  <c r="AB47" i="8"/>
  <c r="V6" i="8"/>
  <c r="U6" i="8"/>
  <c r="T6" i="8"/>
  <c r="X5" i="8"/>
  <c r="W5" i="8"/>
  <c r="V5" i="8"/>
  <c r="U5" i="8"/>
  <c r="T5" i="8"/>
  <c r="AH4" i="8"/>
  <c r="AG4" i="8"/>
  <c r="X4" i="8"/>
  <c r="W4" i="8"/>
  <c r="V4" i="8"/>
  <c r="U4" i="8"/>
  <c r="T4" i="8"/>
  <c r="T40" i="8"/>
  <c r="Y40" i="8"/>
  <c r="AH3" i="8"/>
  <c r="AG3" i="8"/>
  <c r="X3" i="8"/>
  <c r="W3" i="8"/>
  <c r="W32" i="8"/>
  <c r="V3" i="8"/>
  <c r="U3" i="8"/>
  <c r="T3" i="8"/>
  <c r="T32" i="8"/>
  <c r="J32" i="8"/>
  <c r="AH2" i="8"/>
  <c r="AG2" i="8"/>
  <c r="X2" i="8"/>
  <c r="W2" i="8"/>
  <c r="V2" i="8"/>
  <c r="U2" i="8"/>
  <c r="T2" i="8"/>
  <c r="J38" i="8"/>
  <c r="M38" i="8"/>
  <c r="I3" i="8"/>
  <c r="I4" i="8"/>
  <c r="I5" i="8"/>
  <c r="I6" i="8"/>
  <c r="I47" i="8"/>
  <c r="L47" i="8"/>
  <c r="I7" i="8"/>
  <c r="I8" i="8"/>
  <c r="I9" i="8"/>
  <c r="I10" i="8"/>
  <c r="I46" i="8"/>
  <c r="I11" i="8"/>
  <c r="I12" i="8"/>
  <c r="I13" i="8"/>
  <c r="I33" i="8"/>
  <c r="L33" i="8"/>
  <c r="I14" i="8"/>
  <c r="I15" i="8"/>
  <c r="I16" i="8"/>
  <c r="I17" i="8"/>
  <c r="I18" i="8"/>
  <c r="I19" i="8"/>
  <c r="I20" i="8"/>
  <c r="I21" i="8"/>
  <c r="I22" i="8"/>
  <c r="I37" i="8"/>
  <c r="L37" i="8"/>
  <c r="I23" i="8"/>
  <c r="I24" i="8"/>
  <c r="I25" i="8"/>
  <c r="I26" i="8"/>
  <c r="I27" i="8"/>
  <c r="I28" i="8"/>
  <c r="I29" i="8"/>
  <c r="I30" i="8"/>
  <c r="I35" i="8"/>
  <c r="L35" i="8"/>
  <c r="I2" i="8"/>
  <c r="V40" i="8"/>
  <c r="AA40" i="8"/>
  <c r="T47" i="8"/>
  <c r="Y47" i="8"/>
  <c r="V41" i="8"/>
  <c r="AA41" i="8"/>
  <c r="T46" i="8"/>
  <c r="X46" i="8"/>
  <c r="U33" i="8"/>
  <c r="Z33" i="8"/>
  <c r="X34" i="8"/>
  <c r="AC34" i="8"/>
  <c r="W44" i="8"/>
  <c r="AB44" i="8"/>
  <c r="T36" i="8"/>
  <c r="Y36" i="8"/>
  <c r="V43" i="8"/>
  <c r="AA43" i="8"/>
  <c r="X35" i="8"/>
  <c r="AC35" i="8"/>
  <c r="T37" i="8"/>
  <c r="Y37" i="8"/>
  <c r="F3" i="8"/>
  <c r="F4" i="8"/>
  <c r="F5" i="8"/>
  <c r="F6" i="8"/>
  <c r="F47" i="8"/>
  <c r="F7" i="8"/>
  <c r="F8" i="8"/>
  <c r="F9" i="8"/>
  <c r="F10" i="8"/>
  <c r="F46" i="8"/>
  <c r="F11" i="8"/>
  <c r="F12" i="8"/>
  <c r="F13" i="8"/>
  <c r="F14" i="8"/>
  <c r="F34" i="8"/>
  <c r="F15" i="8"/>
  <c r="F16" i="8"/>
  <c r="F17" i="8"/>
  <c r="F18" i="8"/>
  <c r="F19" i="8"/>
  <c r="F20" i="8"/>
  <c r="F21" i="8"/>
  <c r="F22" i="8"/>
  <c r="F37" i="8"/>
  <c r="F23" i="8"/>
  <c r="F24" i="8"/>
  <c r="F25" i="8"/>
  <c r="F26" i="8"/>
  <c r="F36" i="8"/>
  <c r="F27" i="8"/>
  <c r="F28" i="8"/>
  <c r="F29" i="8"/>
  <c r="F30" i="8"/>
  <c r="F35" i="8"/>
  <c r="F2" i="8"/>
  <c r="F33" i="8"/>
  <c r="D3" i="8"/>
  <c r="D32" i="8"/>
  <c r="AE30" i="12"/>
  <c r="AD30" i="12"/>
  <c r="AD35" i="12"/>
  <c r="AE35" i="12"/>
  <c r="AF35" i="12"/>
  <c r="U35" i="12"/>
  <c r="Z35" i="12"/>
  <c r="S30" i="12"/>
  <c r="R30" i="12"/>
  <c r="Q30" i="12"/>
  <c r="Q35" i="12"/>
  <c r="P30" i="12"/>
  <c r="O30" i="12"/>
  <c r="H30" i="12"/>
  <c r="F30" i="12"/>
  <c r="E30" i="12"/>
  <c r="D30" i="12"/>
  <c r="D35" i="12"/>
  <c r="E35" i="12"/>
  <c r="F35" i="12"/>
  <c r="G35" i="12"/>
  <c r="AE29" i="12"/>
  <c r="AD29" i="12"/>
  <c r="AF29" i="12"/>
  <c r="S29" i="12"/>
  <c r="R29" i="12"/>
  <c r="Q29" i="12"/>
  <c r="P29" i="12"/>
  <c r="O29" i="12"/>
  <c r="H29" i="12"/>
  <c r="F29" i="12"/>
  <c r="E29" i="12"/>
  <c r="D29" i="12"/>
  <c r="G29" i="12"/>
  <c r="AE28" i="12"/>
  <c r="AD28" i="12"/>
  <c r="AD43" i="12"/>
  <c r="AE43" i="12"/>
  <c r="AF43" i="12"/>
  <c r="U43" i="12"/>
  <c r="Z43" i="12"/>
  <c r="S28" i="12"/>
  <c r="R28" i="12"/>
  <c r="Q28" i="12"/>
  <c r="Q43" i="12"/>
  <c r="P28" i="12"/>
  <c r="O28" i="12"/>
  <c r="I43" i="12"/>
  <c r="L43" i="12"/>
  <c r="H28" i="12"/>
  <c r="F28" i="12"/>
  <c r="E28" i="12"/>
  <c r="D28" i="12"/>
  <c r="D43" i="12"/>
  <c r="AE27" i="12"/>
  <c r="AD27" i="12"/>
  <c r="AF27" i="12"/>
  <c r="S27" i="12"/>
  <c r="R27" i="12"/>
  <c r="Q27" i="12"/>
  <c r="P27" i="12"/>
  <c r="O27" i="12"/>
  <c r="H27" i="12"/>
  <c r="F27" i="12"/>
  <c r="E27" i="12"/>
  <c r="D27" i="12"/>
  <c r="G27" i="12"/>
  <c r="AE26" i="12"/>
  <c r="AD26" i="12"/>
  <c r="AD36" i="12"/>
  <c r="AE36" i="12"/>
  <c r="AF36" i="12"/>
  <c r="S26" i="12"/>
  <c r="R26" i="12"/>
  <c r="Q26" i="12"/>
  <c r="Q36" i="12"/>
  <c r="P26" i="12"/>
  <c r="O26" i="12"/>
  <c r="I36" i="12"/>
  <c r="L36" i="12"/>
  <c r="H26" i="12"/>
  <c r="F26" i="12"/>
  <c r="E26" i="12"/>
  <c r="D26" i="12"/>
  <c r="AE25" i="12"/>
  <c r="AD25" i="12"/>
  <c r="AF25" i="12"/>
  <c r="S25" i="12"/>
  <c r="R25" i="12"/>
  <c r="Q25" i="12"/>
  <c r="P25" i="12"/>
  <c r="O25" i="12"/>
  <c r="H25" i="12"/>
  <c r="F25" i="12"/>
  <c r="E25" i="12"/>
  <c r="D25" i="12"/>
  <c r="AE24" i="12"/>
  <c r="AD24" i="12"/>
  <c r="S24" i="12"/>
  <c r="R24" i="12"/>
  <c r="Q24" i="12"/>
  <c r="P24" i="12"/>
  <c r="O24" i="12"/>
  <c r="H24" i="12"/>
  <c r="F24" i="12"/>
  <c r="E24" i="12"/>
  <c r="D24" i="12"/>
  <c r="G24" i="12"/>
  <c r="AE23" i="12"/>
  <c r="AD23" i="12"/>
  <c r="AF23" i="12"/>
  <c r="S23" i="12"/>
  <c r="R23" i="12"/>
  <c r="Q23" i="12"/>
  <c r="P23" i="12"/>
  <c r="O23" i="12"/>
  <c r="H23" i="12"/>
  <c r="F23" i="12"/>
  <c r="E23" i="12"/>
  <c r="D23" i="12"/>
  <c r="D49" i="12"/>
  <c r="AE22" i="12"/>
  <c r="AD22" i="12"/>
  <c r="U37" i="12"/>
  <c r="Z37" i="12"/>
  <c r="S22" i="12"/>
  <c r="R22" i="12"/>
  <c r="Q22" i="12"/>
  <c r="Q37" i="12"/>
  <c r="P22" i="12"/>
  <c r="O22" i="12"/>
  <c r="I37" i="12"/>
  <c r="L37" i="12"/>
  <c r="H22" i="12"/>
  <c r="F22" i="12"/>
  <c r="E22" i="12"/>
  <c r="D22" i="12"/>
  <c r="AE21" i="12"/>
  <c r="AD21" i="12"/>
  <c r="AF21" i="12"/>
  <c r="S21" i="12"/>
  <c r="R21" i="12"/>
  <c r="Q21" i="12"/>
  <c r="P21" i="12"/>
  <c r="O21" i="12"/>
  <c r="H21" i="12"/>
  <c r="F21" i="12"/>
  <c r="E21" i="12"/>
  <c r="D21" i="12"/>
  <c r="G21" i="12"/>
  <c r="AE20" i="12"/>
  <c r="AD20" i="12"/>
  <c r="AF20" i="12"/>
  <c r="S20" i="12"/>
  <c r="R20" i="12"/>
  <c r="Q20" i="12"/>
  <c r="P20" i="12"/>
  <c r="O20" i="12"/>
  <c r="H20" i="12"/>
  <c r="F20" i="12"/>
  <c r="E20" i="12"/>
  <c r="D20" i="12"/>
  <c r="G20" i="12"/>
  <c r="AE19" i="12"/>
  <c r="AD19" i="12"/>
  <c r="AD42" i="12"/>
  <c r="U42" i="12"/>
  <c r="Z42" i="12"/>
  <c r="S19" i="12"/>
  <c r="R19" i="12"/>
  <c r="Q19" i="12"/>
  <c r="Q42" i="12"/>
  <c r="P19" i="12"/>
  <c r="O19" i="12"/>
  <c r="H19" i="12"/>
  <c r="F19" i="12"/>
  <c r="E19" i="12"/>
  <c r="D19" i="12"/>
  <c r="D42" i="12"/>
  <c r="AE18" i="12"/>
  <c r="AD18" i="12"/>
  <c r="S18" i="12"/>
  <c r="R18" i="12"/>
  <c r="Q18" i="12"/>
  <c r="P18" i="12"/>
  <c r="O18" i="12"/>
  <c r="H18" i="12"/>
  <c r="F18" i="12"/>
  <c r="E18" i="12"/>
  <c r="D18" i="12"/>
  <c r="G18" i="12"/>
  <c r="AE17" i="12"/>
  <c r="AD17" i="12"/>
  <c r="AF17" i="12"/>
  <c r="S17" i="12"/>
  <c r="R17" i="12"/>
  <c r="Q17" i="12"/>
  <c r="P17" i="12"/>
  <c r="O17" i="12"/>
  <c r="H17" i="12"/>
  <c r="F17" i="12"/>
  <c r="E17" i="12"/>
  <c r="D17" i="12"/>
  <c r="AE16" i="12"/>
  <c r="AD16" i="12"/>
  <c r="AF16" i="12"/>
  <c r="S16" i="12"/>
  <c r="R16" i="12"/>
  <c r="Q16" i="12"/>
  <c r="P16" i="12"/>
  <c r="O16" i="12"/>
  <c r="H16" i="12"/>
  <c r="F16" i="12"/>
  <c r="E16" i="12"/>
  <c r="D16" i="12"/>
  <c r="G16" i="12"/>
  <c r="AE15" i="12"/>
  <c r="AD15" i="12"/>
  <c r="AD44" i="12"/>
  <c r="U44" i="12"/>
  <c r="Z44" i="12"/>
  <c r="S15" i="12"/>
  <c r="R15" i="12"/>
  <c r="Q15" i="12"/>
  <c r="Q44" i="12"/>
  <c r="P15" i="12"/>
  <c r="O15" i="12"/>
  <c r="I44" i="12"/>
  <c r="L44" i="12"/>
  <c r="H15" i="12"/>
  <c r="F15" i="12"/>
  <c r="E15" i="12"/>
  <c r="D15" i="12"/>
  <c r="D44" i="12"/>
  <c r="AE14" i="12"/>
  <c r="AD14" i="12"/>
  <c r="U34" i="12"/>
  <c r="Z34" i="12"/>
  <c r="S14" i="12"/>
  <c r="R14" i="12"/>
  <c r="Q14" i="12"/>
  <c r="P14" i="12"/>
  <c r="O14" i="12"/>
  <c r="I34" i="12"/>
  <c r="L34" i="12"/>
  <c r="H14" i="12"/>
  <c r="F14" i="12"/>
  <c r="E14" i="12"/>
  <c r="D14" i="12"/>
  <c r="D34" i="12"/>
  <c r="AE13" i="12"/>
  <c r="AD13" i="12"/>
  <c r="AF13" i="12"/>
  <c r="U33" i="12"/>
  <c r="Z33" i="12"/>
  <c r="S13" i="12"/>
  <c r="R13" i="12"/>
  <c r="Q13" i="12"/>
  <c r="Q33" i="12"/>
  <c r="P13" i="12"/>
  <c r="O13" i="12"/>
  <c r="H13" i="12"/>
  <c r="F13" i="12"/>
  <c r="E13" i="12"/>
  <c r="D13" i="12"/>
  <c r="G13" i="12"/>
  <c r="AE12" i="12"/>
  <c r="AD12" i="12"/>
  <c r="AF12" i="12"/>
  <c r="S12" i="12"/>
  <c r="R12" i="12"/>
  <c r="Q12" i="12"/>
  <c r="P12" i="12"/>
  <c r="O12" i="12"/>
  <c r="H12" i="12"/>
  <c r="F12" i="12"/>
  <c r="E12" i="12"/>
  <c r="D12" i="12"/>
  <c r="G12" i="12"/>
  <c r="AE11" i="12"/>
  <c r="AD11" i="12"/>
  <c r="AF11" i="12"/>
  <c r="S11" i="12"/>
  <c r="R11" i="12"/>
  <c r="Q11" i="12"/>
  <c r="Q39" i="12"/>
  <c r="P11" i="12"/>
  <c r="O11" i="12"/>
  <c r="H11" i="12"/>
  <c r="H39" i="12"/>
  <c r="F11" i="12"/>
  <c r="E11" i="12"/>
  <c r="D11" i="12"/>
  <c r="G11" i="12"/>
  <c r="AH46" i="12"/>
  <c r="AE10" i="12"/>
  <c r="AD10" i="12"/>
  <c r="AD46" i="12"/>
  <c r="X46" i="12"/>
  <c r="U46" i="12"/>
  <c r="S10" i="12"/>
  <c r="R10" i="12"/>
  <c r="Q10" i="12"/>
  <c r="Q46" i="12"/>
  <c r="P10" i="12"/>
  <c r="P46" i="12"/>
  <c r="O10" i="12"/>
  <c r="I46" i="12"/>
  <c r="H10" i="12"/>
  <c r="H46" i="12"/>
  <c r="F10" i="12"/>
  <c r="E10" i="12"/>
  <c r="D10" i="12"/>
  <c r="D46" i="12"/>
  <c r="AE9" i="12"/>
  <c r="AD9" i="12"/>
  <c r="AF9" i="12"/>
  <c r="S9" i="12"/>
  <c r="R9" i="12"/>
  <c r="Q9" i="12"/>
  <c r="P9" i="12"/>
  <c r="O9" i="12"/>
  <c r="H9" i="12"/>
  <c r="F9" i="12"/>
  <c r="E9" i="12"/>
  <c r="D9" i="12"/>
  <c r="G9" i="12"/>
  <c r="AH41" i="12"/>
  <c r="AJ41" i="12"/>
  <c r="AE8" i="12"/>
  <c r="AD8" i="12"/>
  <c r="AD41" i="12"/>
  <c r="AE41" i="12"/>
  <c r="AF41" i="12"/>
  <c r="T41" i="12"/>
  <c r="Y41" i="12"/>
  <c r="S8" i="12"/>
  <c r="R8" i="12"/>
  <c r="Q8" i="12"/>
  <c r="Q41" i="12"/>
  <c r="P8" i="12"/>
  <c r="O8" i="12"/>
  <c r="J41" i="12"/>
  <c r="M41" i="12"/>
  <c r="I41" i="12"/>
  <c r="L41" i="12"/>
  <c r="H8" i="12"/>
  <c r="H41" i="12"/>
  <c r="F8" i="12"/>
  <c r="E8" i="12"/>
  <c r="D8" i="12"/>
  <c r="D41" i="12"/>
  <c r="AE7" i="12"/>
  <c r="AD7" i="12"/>
  <c r="AF7" i="12"/>
  <c r="S7" i="12"/>
  <c r="R7" i="12"/>
  <c r="Q7" i="12"/>
  <c r="P7" i="12"/>
  <c r="O7" i="12"/>
  <c r="H7" i="12"/>
  <c r="F7" i="12"/>
  <c r="E7" i="12"/>
  <c r="D7" i="12"/>
  <c r="AE6" i="12"/>
  <c r="AD6" i="12"/>
  <c r="S6" i="12"/>
  <c r="R6" i="12"/>
  <c r="Q6" i="12"/>
  <c r="P6" i="12"/>
  <c r="O6" i="12"/>
  <c r="H6" i="12"/>
  <c r="F6" i="12"/>
  <c r="E6" i="12"/>
  <c r="D6" i="12"/>
  <c r="AE5" i="12"/>
  <c r="AD5" i="12"/>
  <c r="AF5" i="12"/>
  <c r="S5" i="12"/>
  <c r="R5" i="12"/>
  <c r="Q5" i="12"/>
  <c r="P5" i="12"/>
  <c r="O5" i="12"/>
  <c r="H5" i="12"/>
  <c r="F5" i="12"/>
  <c r="E5" i="12"/>
  <c r="D5" i="12"/>
  <c r="AE4" i="12"/>
  <c r="AD4" i="12"/>
  <c r="AD40" i="12"/>
  <c r="AE40" i="12"/>
  <c r="AF40" i="12"/>
  <c r="S4" i="12"/>
  <c r="R4" i="12"/>
  <c r="Q4" i="12"/>
  <c r="Q40" i="12"/>
  <c r="P4" i="12"/>
  <c r="O4" i="12"/>
  <c r="H4" i="12"/>
  <c r="F4" i="12"/>
  <c r="E4" i="12"/>
  <c r="D4" i="12"/>
  <c r="D40" i="12"/>
  <c r="AE3" i="12"/>
  <c r="AD3" i="12"/>
  <c r="U32" i="12"/>
  <c r="S3" i="12"/>
  <c r="R3" i="12"/>
  <c r="Q3" i="12"/>
  <c r="P3" i="12"/>
  <c r="O3" i="12"/>
  <c r="I32" i="12"/>
  <c r="H3" i="12"/>
  <c r="F3" i="12"/>
  <c r="E3" i="12"/>
  <c r="D3" i="12"/>
  <c r="AH38" i="12"/>
  <c r="AJ38" i="12"/>
  <c r="AE2" i="12"/>
  <c r="AD2" i="12"/>
  <c r="AD38" i="12"/>
  <c r="AE38" i="12"/>
  <c r="AF38" i="12"/>
  <c r="T38" i="12"/>
  <c r="Y38" i="12"/>
  <c r="S2" i="12"/>
  <c r="R2" i="12"/>
  <c r="Q2" i="12"/>
  <c r="Q38" i="12"/>
  <c r="P2" i="12"/>
  <c r="O2" i="12"/>
  <c r="H2" i="12"/>
  <c r="H38" i="12"/>
  <c r="F2" i="12"/>
  <c r="E2" i="12"/>
  <c r="D2" i="12"/>
  <c r="D38" i="12"/>
  <c r="I35" i="12"/>
  <c r="L35" i="12"/>
  <c r="V43" i="12"/>
  <c r="AA43" i="12"/>
  <c r="R43" i="12"/>
  <c r="J43" i="12"/>
  <c r="M43" i="12"/>
  <c r="E43" i="12"/>
  <c r="U36" i="12"/>
  <c r="Z36" i="12"/>
  <c r="G25" i="12"/>
  <c r="AD37" i="12"/>
  <c r="AE37" i="12"/>
  <c r="AF37" i="12"/>
  <c r="D37" i="12"/>
  <c r="AE42" i="12"/>
  <c r="R42" i="12"/>
  <c r="J42" i="12"/>
  <c r="M42" i="12"/>
  <c r="E42" i="12"/>
  <c r="G17" i="12"/>
  <c r="AE44" i="12"/>
  <c r="R44" i="12"/>
  <c r="E44" i="12"/>
  <c r="AD34" i="12"/>
  <c r="AE34" i="12"/>
  <c r="AF34" i="12"/>
  <c r="J34" i="12"/>
  <c r="M34" i="12"/>
  <c r="E34" i="12"/>
  <c r="AE33" i="12"/>
  <c r="V33" i="12"/>
  <c r="AA33" i="12"/>
  <c r="R33" i="12"/>
  <c r="I33" i="12"/>
  <c r="L33" i="12"/>
  <c r="AE39" i="12"/>
  <c r="W39" i="12"/>
  <c r="AB39" i="12"/>
  <c r="V39" i="12"/>
  <c r="AA39" i="12"/>
  <c r="U39" i="12"/>
  <c r="Z39" i="12"/>
  <c r="R39" i="12"/>
  <c r="J39" i="12"/>
  <c r="M39" i="12"/>
  <c r="I39" i="12"/>
  <c r="L39" i="12"/>
  <c r="R41" i="12"/>
  <c r="E41" i="12"/>
  <c r="G5" i="12"/>
  <c r="R40" i="12"/>
  <c r="J40" i="12"/>
  <c r="M40" i="12"/>
  <c r="E40" i="12"/>
  <c r="AE32" i="12"/>
  <c r="AF3" i="12"/>
  <c r="R32" i="12"/>
  <c r="Q32" i="12"/>
  <c r="E32" i="12"/>
  <c r="D32" i="12"/>
  <c r="V38" i="12"/>
  <c r="AA38" i="12"/>
  <c r="U38" i="12"/>
  <c r="Z38" i="12"/>
  <c r="R38" i="12"/>
  <c r="J38" i="12"/>
  <c r="M38" i="12"/>
  <c r="I38" i="12"/>
  <c r="L38" i="12"/>
  <c r="E38" i="12"/>
  <c r="AE30" i="10"/>
  <c r="AD30" i="10"/>
  <c r="AD35" i="10"/>
  <c r="AE35" i="10"/>
  <c r="AF35" i="10"/>
  <c r="U35" i="10"/>
  <c r="Z35" i="10"/>
  <c r="S30" i="10"/>
  <c r="R30" i="10"/>
  <c r="Q30" i="10"/>
  <c r="Q35" i="10"/>
  <c r="P30" i="10"/>
  <c r="O30" i="10"/>
  <c r="H30" i="10"/>
  <c r="F30" i="10"/>
  <c r="E30" i="10"/>
  <c r="D30" i="10"/>
  <c r="D35" i="10"/>
  <c r="AE29" i="10"/>
  <c r="AD29" i="10"/>
  <c r="AF29" i="10"/>
  <c r="S29" i="10"/>
  <c r="R29" i="10"/>
  <c r="Q29" i="10"/>
  <c r="P29" i="10"/>
  <c r="O29" i="10"/>
  <c r="H29" i="10"/>
  <c r="F29" i="10"/>
  <c r="E29" i="10"/>
  <c r="D29" i="10"/>
  <c r="G29" i="10"/>
  <c r="AE28" i="10"/>
  <c r="AD28" i="10"/>
  <c r="AD43" i="10"/>
  <c r="AE43" i="10"/>
  <c r="AF43" i="10"/>
  <c r="S28" i="10"/>
  <c r="R28" i="10"/>
  <c r="Q28" i="10"/>
  <c r="Q43" i="10"/>
  <c r="P28" i="10"/>
  <c r="O28" i="10"/>
  <c r="I43" i="10"/>
  <c r="L43" i="10"/>
  <c r="H28" i="10"/>
  <c r="F28" i="10"/>
  <c r="E28" i="10"/>
  <c r="D28" i="10"/>
  <c r="D43" i="10"/>
  <c r="AE27" i="10"/>
  <c r="AD27" i="10"/>
  <c r="S27" i="10"/>
  <c r="R27" i="10"/>
  <c r="Q27" i="10"/>
  <c r="P27" i="10"/>
  <c r="O27" i="10"/>
  <c r="H27" i="10"/>
  <c r="F27" i="10"/>
  <c r="E27" i="10"/>
  <c r="D27" i="10"/>
  <c r="G27" i="10"/>
  <c r="AE26" i="10"/>
  <c r="AD26" i="10"/>
  <c r="AD36" i="10"/>
  <c r="AE36" i="10"/>
  <c r="AF36" i="10"/>
  <c r="U36" i="10"/>
  <c r="Z36" i="10"/>
  <c r="S26" i="10"/>
  <c r="R26" i="10"/>
  <c r="Q26" i="10"/>
  <c r="P26" i="10"/>
  <c r="O26" i="10"/>
  <c r="I36" i="10"/>
  <c r="L36" i="10"/>
  <c r="H26" i="10"/>
  <c r="F26" i="10"/>
  <c r="E26" i="10"/>
  <c r="D26" i="10"/>
  <c r="D36" i="10"/>
  <c r="AE25" i="10"/>
  <c r="AD25" i="10"/>
  <c r="AF25" i="10"/>
  <c r="S25" i="10"/>
  <c r="R25" i="10"/>
  <c r="Q25" i="10"/>
  <c r="P25" i="10"/>
  <c r="O25" i="10"/>
  <c r="H25" i="10"/>
  <c r="F25" i="10"/>
  <c r="D25" i="10"/>
  <c r="G25" i="10"/>
  <c r="AE24" i="10"/>
  <c r="AD24" i="10"/>
  <c r="S24" i="10"/>
  <c r="R24" i="10"/>
  <c r="Q24" i="10"/>
  <c r="P24" i="10"/>
  <c r="O24" i="10"/>
  <c r="H24" i="10"/>
  <c r="F24" i="10"/>
  <c r="E24" i="10"/>
  <c r="D24" i="10"/>
  <c r="G24" i="10"/>
  <c r="AE23" i="10"/>
  <c r="AD23" i="10"/>
  <c r="AF23" i="10"/>
  <c r="U49" i="10"/>
  <c r="S23" i="10"/>
  <c r="R23" i="10"/>
  <c r="Q23" i="10"/>
  <c r="Q49" i="10"/>
  <c r="P23" i="10"/>
  <c r="O23" i="10"/>
  <c r="I49" i="10"/>
  <c r="H23" i="10"/>
  <c r="F23" i="10"/>
  <c r="E23" i="10"/>
  <c r="D23" i="10"/>
  <c r="D49" i="10"/>
  <c r="AE22" i="10"/>
  <c r="AD22" i="10"/>
  <c r="U37" i="10"/>
  <c r="Z37" i="10"/>
  <c r="S22" i="10"/>
  <c r="R22" i="10"/>
  <c r="Q22" i="10"/>
  <c r="Q37" i="10"/>
  <c r="P22" i="10"/>
  <c r="O22" i="10"/>
  <c r="I37" i="10"/>
  <c r="L37" i="10"/>
  <c r="H22" i="10"/>
  <c r="F22" i="10"/>
  <c r="E22" i="10"/>
  <c r="D22" i="10"/>
  <c r="AE21" i="10"/>
  <c r="AD21" i="10"/>
  <c r="AF21" i="10"/>
  <c r="S21" i="10"/>
  <c r="R21" i="10"/>
  <c r="Q21" i="10"/>
  <c r="P21" i="10"/>
  <c r="O21" i="10"/>
  <c r="H21" i="10"/>
  <c r="F21" i="10"/>
  <c r="D21" i="10"/>
  <c r="G21" i="10"/>
  <c r="AE20" i="10"/>
  <c r="AD20" i="10"/>
  <c r="AF20" i="10"/>
  <c r="S20" i="10"/>
  <c r="R20" i="10"/>
  <c r="Q20" i="10"/>
  <c r="P20" i="10"/>
  <c r="O20" i="10"/>
  <c r="H20" i="10"/>
  <c r="F20" i="10"/>
  <c r="E20" i="10"/>
  <c r="D20" i="10"/>
  <c r="G20" i="10"/>
  <c r="AE19" i="10"/>
  <c r="AD19" i="10"/>
  <c r="U42" i="10"/>
  <c r="Z42" i="10"/>
  <c r="S19" i="10"/>
  <c r="R19" i="10"/>
  <c r="Q19" i="10"/>
  <c r="Q42" i="10"/>
  <c r="P19" i="10"/>
  <c r="O19" i="10"/>
  <c r="I42" i="10"/>
  <c r="L42" i="10"/>
  <c r="H19" i="10"/>
  <c r="F19" i="10"/>
  <c r="E19" i="10"/>
  <c r="D19" i="10"/>
  <c r="AE18" i="10"/>
  <c r="AD18" i="10"/>
  <c r="AF18" i="10"/>
  <c r="S18" i="10"/>
  <c r="R18" i="10"/>
  <c r="Q18" i="10"/>
  <c r="P18" i="10"/>
  <c r="O18" i="10"/>
  <c r="H18" i="10"/>
  <c r="F18" i="10"/>
  <c r="D18" i="10"/>
  <c r="G18" i="10"/>
  <c r="AE17" i="10"/>
  <c r="AD17" i="10"/>
  <c r="AF17" i="10"/>
  <c r="S17" i="10"/>
  <c r="R17" i="10"/>
  <c r="Q17" i="10"/>
  <c r="P17" i="10"/>
  <c r="O17" i="10"/>
  <c r="H17" i="10"/>
  <c r="F17" i="10"/>
  <c r="D17" i="10"/>
  <c r="G17" i="10"/>
  <c r="AE16" i="10"/>
  <c r="AD16" i="10"/>
  <c r="S16" i="10"/>
  <c r="R16" i="10"/>
  <c r="Q16" i="10"/>
  <c r="P16" i="10"/>
  <c r="O16" i="10"/>
  <c r="H16" i="10"/>
  <c r="F16" i="10"/>
  <c r="D16" i="10"/>
  <c r="AE15" i="10"/>
  <c r="AD15" i="10"/>
  <c r="AD44" i="10"/>
  <c r="U44" i="10"/>
  <c r="Z44" i="10"/>
  <c r="S15" i="10"/>
  <c r="R15" i="10"/>
  <c r="Q15" i="10"/>
  <c r="Q44" i="10"/>
  <c r="P15" i="10"/>
  <c r="O15" i="10"/>
  <c r="H15" i="10"/>
  <c r="F15" i="10"/>
  <c r="E15" i="10"/>
  <c r="D15" i="10"/>
  <c r="D44" i="10"/>
  <c r="E44" i="10"/>
  <c r="F44" i="10"/>
  <c r="G44" i="10"/>
  <c r="AE14" i="10"/>
  <c r="AD14" i="10"/>
  <c r="AD34" i="10"/>
  <c r="AE34" i="10"/>
  <c r="AF34" i="10"/>
  <c r="U34" i="10"/>
  <c r="Z34" i="10"/>
  <c r="S14" i="10"/>
  <c r="R14" i="10"/>
  <c r="Q14" i="10"/>
  <c r="P14" i="10"/>
  <c r="O14" i="10"/>
  <c r="I34" i="10"/>
  <c r="L34" i="10"/>
  <c r="H14" i="10"/>
  <c r="F14" i="10"/>
  <c r="E14" i="10"/>
  <c r="D14" i="10"/>
  <c r="D34" i="10"/>
  <c r="AE13" i="10"/>
  <c r="AD13" i="10"/>
  <c r="AF13" i="10"/>
  <c r="S13" i="10"/>
  <c r="R13" i="10"/>
  <c r="Q13" i="10"/>
  <c r="P13" i="10"/>
  <c r="O13" i="10"/>
  <c r="H13" i="10"/>
  <c r="F13" i="10"/>
  <c r="E13" i="10"/>
  <c r="D13" i="10"/>
  <c r="AE12" i="10"/>
  <c r="AD12" i="10"/>
  <c r="AF12" i="10"/>
  <c r="S12" i="10"/>
  <c r="R12" i="10"/>
  <c r="Q12" i="10"/>
  <c r="P12" i="10"/>
  <c r="O12" i="10"/>
  <c r="H12" i="10"/>
  <c r="F12" i="10"/>
  <c r="E12" i="10"/>
  <c r="D12" i="10"/>
  <c r="G12" i="10"/>
  <c r="AE11" i="10"/>
  <c r="AD11" i="10"/>
  <c r="AF11" i="10"/>
  <c r="U39" i="10"/>
  <c r="Z39" i="10"/>
  <c r="S11" i="10"/>
  <c r="R11" i="10"/>
  <c r="Q11" i="10"/>
  <c r="Q39" i="10"/>
  <c r="P11" i="10"/>
  <c r="O11" i="10"/>
  <c r="I39" i="10"/>
  <c r="L39" i="10"/>
  <c r="H11" i="10"/>
  <c r="F11" i="10"/>
  <c r="E11" i="10"/>
  <c r="D11" i="10"/>
  <c r="AE10" i="10"/>
  <c r="AD10" i="10"/>
  <c r="AD46" i="10"/>
  <c r="U46" i="10"/>
  <c r="S10" i="10"/>
  <c r="R10" i="10"/>
  <c r="Q10" i="10"/>
  <c r="Q46" i="10"/>
  <c r="P10" i="10"/>
  <c r="O10" i="10"/>
  <c r="H10" i="10"/>
  <c r="F10" i="10"/>
  <c r="E10" i="10"/>
  <c r="D10" i="10"/>
  <c r="D46" i="10"/>
  <c r="AE9" i="10"/>
  <c r="AD9" i="10"/>
  <c r="AF9" i="10"/>
  <c r="S9" i="10"/>
  <c r="R9" i="10"/>
  <c r="Q9" i="10"/>
  <c r="P9" i="10"/>
  <c r="O9" i="10"/>
  <c r="H9" i="10"/>
  <c r="F9" i="10"/>
  <c r="D9" i="10"/>
  <c r="G9" i="10"/>
  <c r="AE8" i="10"/>
  <c r="AD8" i="10"/>
  <c r="U41" i="10"/>
  <c r="Z41" i="10"/>
  <c r="S8" i="10"/>
  <c r="R8" i="10"/>
  <c r="Q8" i="10"/>
  <c r="Q41" i="10"/>
  <c r="P8" i="10"/>
  <c r="O8" i="10"/>
  <c r="I41" i="10"/>
  <c r="L41" i="10"/>
  <c r="H8" i="10"/>
  <c r="F8" i="10"/>
  <c r="E8" i="10"/>
  <c r="D8" i="10"/>
  <c r="AE7" i="10"/>
  <c r="AD7" i="10"/>
  <c r="AF7" i="10"/>
  <c r="S7" i="10"/>
  <c r="R7" i="10"/>
  <c r="Q7" i="10"/>
  <c r="P7" i="10"/>
  <c r="O7" i="10"/>
  <c r="H7" i="10"/>
  <c r="F7" i="10"/>
  <c r="D7" i="10"/>
  <c r="G7" i="10"/>
  <c r="AE6" i="10"/>
  <c r="AD6" i="10"/>
  <c r="AD47" i="10"/>
  <c r="AE47" i="10"/>
  <c r="AF47" i="10"/>
  <c r="U47" i="10"/>
  <c r="Z47" i="10"/>
  <c r="S6" i="10"/>
  <c r="R6" i="10"/>
  <c r="Q6" i="10"/>
  <c r="P6" i="10"/>
  <c r="O6" i="10"/>
  <c r="I47" i="10"/>
  <c r="L47" i="10"/>
  <c r="H6" i="10"/>
  <c r="F6" i="10"/>
  <c r="E6" i="10"/>
  <c r="D6" i="10"/>
  <c r="D47" i="10"/>
  <c r="AE5" i="10"/>
  <c r="AD5" i="10"/>
  <c r="AF5" i="10"/>
  <c r="S5" i="10"/>
  <c r="R5" i="10"/>
  <c r="Q5" i="10"/>
  <c r="P5" i="10"/>
  <c r="O5" i="10"/>
  <c r="H5" i="10"/>
  <c r="F5" i="10"/>
  <c r="E5" i="10"/>
  <c r="D5" i="10"/>
  <c r="AE4" i="10"/>
  <c r="AD4" i="10"/>
  <c r="AD40" i="10"/>
  <c r="AE40" i="10"/>
  <c r="AF40" i="10"/>
  <c r="V40" i="10"/>
  <c r="AA40" i="10"/>
  <c r="U40" i="10"/>
  <c r="Z40" i="10"/>
  <c r="S4" i="10"/>
  <c r="R4" i="10"/>
  <c r="Q4" i="10"/>
  <c r="Q40" i="10"/>
  <c r="P4" i="10"/>
  <c r="O4" i="10"/>
  <c r="H4" i="10"/>
  <c r="F4" i="10"/>
  <c r="E4" i="10"/>
  <c r="D4" i="10"/>
  <c r="D40" i="10"/>
  <c r="AE3" i="10"/>
  <c r="AE32" i="10"/>
  <c r="AD3" i="10"/>
  <c r="AF3" i="10"/>
  <c r="V32" i="10"/>
  <c r="U32" i="10"/>
  <c r="S3" i="10"/>
  <c r="R3" i="10"/>
  <c r="R32" i="10"/>
  <c r="Q3" i="10"/>
  <c r="Q32" i="10"/>
  <c r="P3" i="10"/>
  <c r="O3" i="10"/>
  <c r="J32" i="10"/>
  <c r="I32" i="10"/>
  <c r="H3" i="10"/>
  <c r="F3" i="10"/>
  <c r="E3" i="10"/>
  <c r="E32" i="10"/>
  <c r="D3" i="10"/>
  <c r="D32" i="10"/>
  <c r="AE2" i="10"/>
  <c r="AD2" i="10"/>
  <c r="U38" i="10"/>
  <c r="Z38" i="10"/>
  <c r="S2" i="10"/>
  <c r="R2" i="10"/>
  <c r="Q2" i="10"/>
  <c r="Q38" i="10"/>
  <c r="P2" i="10"/>
  <c r="O2" i="10"/>
  <c r="J38" i="10"/>
  <c r="M38" i="10"/>
  <c r="I38" i="10"/>
  <c r="L38" i="10"/>
  <c r="H2" i="10"/>
  <c r="F2" i="10"/>
  <c r="E2" i="10"/>
  <c r="D2" i="10"/>
  <c r="I35" i="10"/>
  <c r="L35" i="10"/>
  <c r="U43" i="10"/>
  <c r="Z43" i="10"/>
  <c r="AF27" i="10"/>
  <c r="Q36" i="10"/>
  <c r="AF24" i="10"/>
  <c r="AD37" i="10"/>
  <c r="D37" i="10"/>
  <c r="AD42" i="10"/>
  <c r="D42" i="10"/>
  <c r="E42" i="10"/>
  <c r="F42" i="10"/>
  <c r="G42" i="10"/>
  <c r="G16" i="10"/>
  <c r="I44" i="10"/>
  <c r="L44" i="10"/>
  <c r="Q34" i="10"/>
  <c r="D33" i="10"/>
  <c r="E33" i="10"/>
  <c r="F33" i="10"/>
  <c r="G33" i="10"/>
  <c r="D39" i="10"/>
  <c r="E39" i="10"/>
  <c r="F39" i="10"/>
  <c r="G39" i="10"/>
  <c r="I46" i="10"/>
  <c r="AD41" i="10"/>
  <c r="D41" i="10"/>
  <c r="Q47" i="10"/>
  <c r="G5" i="10"/>
  <c r="I40" i="10"/>
  <c r="L40" i="10"/>
  <c r="AD38" i="10"/>
  <c r="AE38" i="10"/>
  <c r="AF38" i="10"/>
  <c r="D38" i="10"/>
  <c r="F36" i="12"/>
  <c r="S34" i="12"/>
  <c r="O34" i="12"/>
  <c r="E33" i="12"/>
  <c r="AH35" i="12"/>
  <c r="AJ35" i="12"/>
  <c r="AG35" i="12"/>
  <c r="X35" i="12"/>
  <c r="AC35" i="12"/>
  <c r="W35" i="12"/>
  <c r="AB35" i="12"/>
  <c r="V35" i="12"/>
  <c r="AA35" i="12"/>
  <c r="T35" i="12"/>
  <c r="Y35" i="12"/>
  <c r="S35" i="12"/>
  <c r="R35" i="12"/>
  <c r="P35" i="12"/>
  <c r="O35" i="12"/>
  <c r="H35" i="12"/>
  <c r="AH43" i="12"/>
  <c r="AJ43" i="12"/>
  <c r="AG43" i="12"/>
  <c r="X43" i="12"/>
  <c r="AC43" i="12"/>
  <c r="W43" i="12"/>
  <c r="AB43" i="12"/>
  <c r="T43" i="12"/>
  <c r="Y43" i="12"/>
  <c r="S43" i="12"/>
  <c r="P43" i="12"/>
  <c r="O43" i="12"/>
  <c r="H43" i="12"/>
  <c r="F43" i="12"/>
  <c r="AH36" i="12"/>
  <c r="AJ36" i="12"/>
  <c r="AG36" i="12"/>
  <c r="X36" i="12"/>
  <c r="AC36" i="12"/>
  <c r="V36" i="12"/>
  <c r="AA36" i="12"/>
  <c r="T36" i="12"/>
  <c r="Y36" i="12"/>
  <c r="S36" i="12"/>
  <c r="R36" i="12"/>
  <c r="P36" i="12"/>
  <c r="O36" i="12"/>
  <c r="J36" i="12"/>
  <c r="M36" i="12"/>
  <c r="H36" i="12"/>
  <c r="E36" i="12"/>
  <c r="D36" i="12"/>
  <c r="AH49" i="12"/>
  <c r="AG49" i="12"/>
  <c r="AE49" i="12"/>
  <c r="AD49" i="12"/>
  <c r="X49" i="12"/>
  <c r="U49" i="12"/>
  <c r="T49" i="12"/>
  <c r="S49" i="12"/>
  <c r="R49" i="12"/>
  <c r="Q49" i="12"/>
  <c r="P49" i="12"/>
  <c r="O49" i="12"/>
  <c r="H49" i="12"/>
  <c r="F49" i="12"/>
  <c r="E49" i="12"/>
  <c r="AH37" i="12"/>
  <c r="AJ37" i="12"/>
  <c r="AG37" i="12"/>
  <c r="V37" i="12"/>
  <c r="AA37" i="12"/>
  <c r="S37" i="12"/>
  <c r="R37" i="12"/>
  <c r="P37" i="12"/>
  <c r="O37" i="12"/>
  <c r="H37" i="12"/>
  <c r="F37" i="12"/>
  <c r="E37" i="12"/>
  <c r="AG42" i="12"/>
  <c r="X42" i="12"/>
  <c r="AC42" i="12"/>
  <c r="T42" i="12"/>
  <c r="Y42" i="12"/>
  <c r="S42" i="12"/>
  <c r="P42" i="12"/>
  <c r="O42" i="12"/>
  <c r="H42" i="12"/>
  <c r="F42" i="12"/>
  <c r="AF18" i="12"/>
  <c r="AG44" i="12"/>
  <c r="AF15" i="12"/>
  <c r="X44" i="12"/>
  <c r="AC44" i="12"/>
  <c r="T44" i="12"/>
  <c r="Y44" i="12"/>
  <c r="S44" i="12"/>
  <c r="P44" i="12"/>
  <c r="O44" i="12"/>
  <c r="H44" i="12"/>
  <c r="G15" i="12"/>
  <c r="F44" i="12"/>
  <c r="AH34" i="12"/>
  <c r="AJ34" i="12"/>
  <c r="AG34" i="12"/>
  <c r="X34" i="12"/>
  <c r="AC34" i="12"/>
  <c r="V34" i="12"/>
  <c r="AA34" i="12"/>
  <c r="R34" i="12"/>
  <c r="Q34" i="12"/>
  <c r="P34" i="12"/>
  <c r="H34" i="12"/>
  <c r="F34" i="12"/>
  <c r="AH33" i="12"/>
  <c r="AJ33" i="12"/>
  <c r="X33" i="12"/>
  <c r="AC33" i="12"/>
  <c r="W33" i="12"/>
  <c r="AB33" i="12"/>
  <c r="S33" i="12"/>
  <c r="P33" i="12"/>
  <c r="O33" i="12"/>
  <c r="J33" i="12"/>
  <c r="M33" i="12"/>
  <c r="H33" i="12"/>
  <c r="F33" i="12"/>
  <c r="AG39" i="12"/>
  <c r="X39" i="12"/>
  <c r="AC39" i="12"/>
  <c r="T39" i="12"/>
  <c r="Y39" i="12"/>
  <c r="S39" i="12"/>
  <c r="P39" i="12"/>
  <c r="O39" i="12"/>
  <c r="F39" i="12"/>
  <c r="E39" i="12"/>
  <c r="AG46" i="12"/>
  <c r="AG47" i="12"/>
  <c r="AH47" i="12"/>
  <c r="AK45" i="12"/>
  <c r="AE46" i="12"/>
  <c r="W46" i="12"/>
  <c r="V46" i="12"/>
  <c r="S46" i="12"/>
  <c r="R46" i="12"/>
  <c r="O46" i="12"/>
  <c r="F46" i="12"/>
  <c r="E46" i="12"/>
  <c r="AG41" i="12"/>
  <c r="X41" i="12"/>
  <c r="AC41" i="12"/>
  <c r="W41" i="12"/>
  <c r="AB41" i="12"/>
  <c r="S41" i="12"/>
  <c r="P41" i="12"/>
  <c r="O41" i="12"/>
  <c r="F41" i="12"/>
  <c r="G7" i="12"/>
  <c r="AJ47" i="12"/>
  <c r="AE47" i="12"/>
  <c r="AD47" i="12"/>
  <c r="AF47" i="12"/>
  <c r="X47" i="12"/>
  <c r="AC47" i="12"/>
  <c r="V47" i="12"/>
  <c r="AA47" i="12"/>
  <c r="U47" i="12"/>
  <c r="Z47" i="12"/>
  <c r="T47" i="12"/>
  <c r="Y47" i="12"/>
  <c r="S47" i="12"/>
  <c r="R47" i="12"/>
  <c r="Q47" i="12"/>
  <c r="P47" i="12"/>
  <c r="O47" i="12"/>
  <c r="I47" i="12"/>
  <c r="L47" i="12"/>
  <c r="H47" i="12"/>
  <c r="F47" i="12"/>
  <c r="E47" i="12"/>
  <c r="D47" i="12"/>
  <c r="AH40" i="12"/>
  <c r="AJ40" i="12"/>
  <c r="X40" i="12"/>
  <c r="AC40" i="12"/>
  <c r="W40" i="12"/>
  <c r="AB40" i="12"/>
  <c r="T40" i="12"/>
  <c r="Y40" i="12"/>
  <c r="S40" i="12"/>
  <c r="P40" i="12"/>
  <c r="O40" i="12"/>
  <c r="H40" i="12"/>
  <c r="F40" i="12"/>
  <c r="AG32" i="12"/>
  <c r="X32" i="12"/>
  <c r="T32" i="12"/>
  <c r="S32" i="12"/>
  <c r="S38" i="12"/>
  <c r="S31" i="12"/>
  <c r="P32" i="12"/>
  <c r="O32" i="12"/>
  <c r="H32" i="12"/>
  <c r="G3" i="12"/>
  <c r="F32" i="12"/>
  <c r="AG38" i="12"/>
  <c r="P38" i="12"/>
  <c r="O38" i="12"/>
  <c r="F38" i="12"/>
  <c r="AH35" i="10"/>
  <c r="AJ35" i="10"/>
  <c r="AG35" i="10"/>
  <c r="X35" i="10"/>
  <c r="AC35" i="10"/>
  <c r="W35" i="10"/>
  <c r="AB35" i="10"/>
  <c r="V35" i="10"/>
  <c r="AA35" i="10"/>
  <c r="T35" i="10"/>
  <c r="Y35" i="10"/>
  <c r="S35" i="10"/>
  <c r="R35" i="10"/>
  <c r="P35" i="10"/>
  <c r="O35" i="10"/>
  <c r="J35" i="10"/>
  <c r="M35" i="10"/>
  <c r="H35" i="10"/>
  <c r="F35" i="10"/>
  <c r="E35" i="10"/>
  <c r="AH43" i="10"/>
  <c r="AJ43" i="10"/>
  <c r="AG43" i="10"/>
  <c r="X43" i="10"/>
  <c r="AC43" i="10"/>
  <c r="W43" i="10"/>
  <c r="AB43" i="10"/>
  <c r="V43" i="10"/>
  <c r="AA43" i="10"/>
  <c r="T43" i="10"/>
  <c r="Y43" i="10"/>
  <c r="S43" i="10"/>
  <c r="R43" i="10"/>
  <c r="P43" i="10"/>
  <c r="O43" i="10"/>
  <c r="J43" i="10"/>
  <c r="M43" i="10"/>
  <c r="H43" i="10"/>
  <c r="F43" i="10"/>
  <c r="E43" i="10"/>
  <c r="AH36" i="10"/>
  <c r="AJ36" i="10"/>
  <c r="AG36" i="10"/>
  <c r="X36" i="10"/>
  <c r="AC36" i="10"/>
  <c r="W36" i="10"/>
  <c r="AB36" i="10"/>
  <c r="V36" i="10"/>
  <c r="AA36" i="10"/>
  <c r="T36" i="10"/>
  <c r="Y36" i="10"/>
  <c r="S36" i="10"/>
  <c r="R36" i="10"/>
  <c r="P36" i="10"/>
  <c r="O36" i="10"/>
  <c r="J36" i="10"/>
  <c r="M36" i="10"/>
  <c r="H36" i="10"/>
  <c r="F36" i="10"/>
  <c r="E36" i="10"/>
  <c r="AH49" i="10"/>
  <c r="AG49" i="10"/>
  <c r="AE49" i="10"/>
  <c r="X49" i="10"/>
  <c r="W49" i="10"/>
  <c r="V49" i="10"/>
  <c r="T49" i="10"/>
  <c r="S49" i="10"/>
  <c r="R49" i="10"/>
  <c r="P49" i="10"/>
  <c r="O49" i="10"/>
  <c r="J49" i="10"/>
  <c r="H49" i="10"/>
  <c r="F49" i="10"/>
  <c r="E49" i="10"/>
  <c r="AH37" i="10"/>
  <c r="AJ37" i="10"/>
  <c r="AG37" i="10"/>
  <c r="AE37" i="10"/>
  <c r="X37" i="10"/>
  <c r="AC37" i="10"/>
  <c r="W37" i="10"/>
  <c r="AB37" i="10"/>
  <c r="V37" i="10"/>
  <c r="AA37" i="10"/>
  <c r="T37" i="10"/>
  <c r="Y37" i="10"/>
  <c r="S37" i="10"/>
  <c r="R37" i="10"/>
  <c r="P37" i="10"/>
  <c r="O37" i="10"/>
  <c r="J37" i="10"/>
  <c r="M37" i="10"/>
  <c r="H37" i="10"/>
  <c r="F37" i="10"/>
  <c r="E37" i="10"/>
  <c r="AH42" i="10"/>
  <c r="AJ42" i="10"/>
  <c r="AG42" i="10"/>
  <c r="AF19" i="10"/>
  <c r="AE42" i="10"/>
  <c r="X42" i="10"/>
  <c r="AC42" i="10"/>
  <c r="W42" i="10"/>
  <c r="AB42" i="10"/>
  <c r="V42" i="10"/>
  <c r="AA42" i="10"/>
  <c r="T42" i="10"/>
  <c r="Y42" i="10"/>
  <c r="S42" i="10"/>
  <c r="R42" i="10"/>
  <c r="P42" i="10"/>
  <c r="O42" i="10"/>
  <c r="J42" i="10"/>
  <c r="M42" i="10"/>
  <c r="H42" i="10"/>
  <c r="G19" i="10"/>
  <c r="AF16" i="10"/>
  <c r="AH44" i="10"/>
  <c r="AJ44" i="10"/>
  <c r="AG44" i="10"/>
  <c r="AE44" i="10"/>
  <c r="X44" i="10"/>
  <c r="AC44" i="10"/>
  <c r="W44" i="10"/>
  <c r="AB44" i="10"/>
  <c r="V44" i="10"/>
  <c r="AA44" i="10"/>
  <c r="T44" i="10"/>
  <c r="Y44" i="10"/>
  <c r="S44" i="10"/>
  <c r="R44" i="10"/>
  <c r="P44" i="10"/>
  <c r="O44" i="10"/>
  <c r="J44" i="10"/>
  <c r="M44" i="10"/>
  <c r="H44" i="10"/>
  <c r="AH34" i="10"/>
  <c r="AJ34" i="10"/>
  <c r="AG34" i="10"/>
  <c r="X34" i="10"/>
  <c r="AC34" i="10"/>
  <c r="W34" i="10"/>
  <c r="AB34" i="10"/>
  <c r="V34" i="10"/>
  <c r="AA34" i="10"/>
  <c r="T34" i="10"/>
  <c r="Y34" i="10"/>
  <c r="S34" i="10"/>
  <c r="R34" i="10"/>
  <c r="P34" i="10"/>
  <c r="O34" i="10"/>
  <c r="J34" i="10"/>
  <c r="M34" i="10"/>
  <c r="H34" i="10"/>
  <c r="F34" i="10"/>
  <c r="E34" i="10"/>
  <c r="AH33" i="10"/>
  <c r="AJ33" i="10"/>
  <c r="AG33" i="10"/>
  <c r="AE33" i="10"/>
  <c r="AD33" i="10"/>
  <c r="X33" i="10"/>
  <c r="AC33" i="10"/>
  <c r="W33" i="10"/>
  <c r="AB33" i="10"/>
  <c r="V33" i="10"/>
  <c r="AA33" i="10"/>
  <c r="U33" i="10"/>
  <c r="Z33" i="10"/>
  <c r="T33" i="10"/>
  <c r="Y33" i="10"/>
  <c r="S33" i="10"/>
  <c r="R33" i="10"/>
  <c r="Q33" i="10"/>
  <c r="P33" i="10"/>
  <c r="O33" i="10"/>
  <c r="J33" i="10"/>
  <c r="M33" i="10"/>
  <c r="I33" i="10"/>
  <c r="L33" i="10"/>
  <c r="H33" i="10"/>
  <c r="AH39" i="10"/>
  <c r="AJ39" i="10"/>
  <c r="AG39" i="10"/>
  <c r="AE39" i="10"/>
  <c r="X39" i="10"/>
  <c r="AC39" i="10"/>
  <c r="W39" i="10"/>
  <c r="AB39" i="10"/>
  <c r="V39" i="10"/>
  <c r="AA39" i="10"/>
  <c r="T39" i="10"/>
  <c r="Y39" i="10"/>
  <c r="S39" i="10"/>
  <c r="R39" i="10"/>
  <c r="P39" i="10"/>
  <c r="O39" i="10"/>
  <c r="J39" i="10"/>
  <c r="M39" i="10"/>
  <c r="H39" i="10"/>
  <c r="AH46" i="10"/>
  <c r="AG46" i="10"/>
  <c r="AG47" i="10"/>
  <c r="AH47" i="10"/>
  <c r="AK45" i="10"/>
  <c r="AE46" i="10"/>
  <c r="X46" i="10"/>
  <c r="W46" i="10"/>
  <c r="V46" i="10"/>
  <c r="T46" i="10"/>
  <c r="S46" i="10"/>
  <c r="R46" i="10"/>
  <c r="P46" i="10"/>
  <c r="O46" i="10"/>
  <c r="J46" i="10"/>
  <c r="H46" i="10"/>
  <c r="F46" i="10"/>
  <c r="E46" i="10"/>
  <c r="AH41" i="10"/>
  <c r="AJ41" i="10"/>
  <c r="AG41" i="10"/>
  <c r="AE41" i="10"/>
  <c r="X41" i="10"/>
  <c r="AC41" i="10"/>
  <c r="W41" i="10"/>
  <c r="AB41" i="10"/>
  <c r="V41" i="10"/>
  <c r="AA41" i="10"/>
  <c r="T41" i="10"/>
  <c r="Y41" i="10"/>
  <c r="S41" i="10"/>
  <c r="R41" i="10"/>
  <c r="P41" i="10"/>
  <c r="O41" i="10"/>
  <c r="J41" i="10"/>
  <c r="M41" i="10"/>
  <c r="H41" i="10"/>
  <c r="F41" i="10"/>
  <c r="E41" i="10"/>
  <c r="AJ47" i="10"/>
  <c r="X47" i="10"/>
  <c r="AC47" i="10"/>
  <c r="W47" i="10"/>
  <c r="AB47" i="10"/>
  <c r="V47" i="10"/>
  <c r="AA47" i="10"/>
  <c r="T47" i="10"/>
  <c r="Y47" i="10"/>
  <c r="S47" i="10"/>
  <c r="R47" i="10"/>
  <c r="P47" i="10"/>
  <c r="O47" i="10"/>
  <c r="J47" i="10"/>
  <c r="M47" i="10"/>
  <c r="H47" i="10"/>
  <c r="F47" i="10"/>
  <c r="E47" i="10"/>
  <c r="AH40" i="10"/>
  <c r="AJ40" i="10"/>
  <c r="AG40" i="10"/>
  <c r="X40" i="10"/>
  <c r="AC40" i="10"/>
  <c r="W40" i="10"/>
  <c r="AB40" i="10"/>
  <c r="T40" i="10"/>
  <c r="Y40" i="10"/>
  <c r="S40" i="10"/>
  <c r="R40" i="10"/>
  <c r="P40" i="10"/>
  <c r="O40" i="10"/>
  <c r="J40" i="10"/>
  <c r="M40" i="10"/>
  <c r="H40" i="10"/>
  <c r="F40" i="10"/>
  <c r="E40" i="10"/>
  <c r="AH32" i="10"/>
  <c r="AG32" i="10"/>
  <c r="X32" i="10"/>
  <c r="W32" i="10"/>
  <c r="T32" i="10"/>
  <c r="S32" i="10"/>
  <c r="P32" i="10"/>
  <c r="O32" i="10"/>
  <c r="H32" i="10"/>
  <c r="F32" i="10"/>
  <c r="AH38" i="10"/>
  <c r="AJ38" i="10"/>
  <c r="AG38" i="10"/>
  <c r="X38" i="10"/>
  <c r="AC38" i="10"/>
  <c r="W38" i="10"/>
  <c r="AB38" i="10"/>
  <c r="V38" i="10"/>
  <c r="AA38" i="10"/>
  <c r="T38" i="10"/>
  <c r="Y38" i="10"/>
  <c r="S38" i="10"/>
  <c r="R38" i="10"/>
  <c r="P38" i="10"/>
  <c r="O38" i="10"/>
  <c r="H38" i="10"/>
  <c r="F38" i="10"/>
  <c r="E38" i="10"/>
  <c r="AE30" i="8"/>
  <c r="AD30" i="8"/>
  <c r="AD35" i="8"/>
  <c r="U35" i="8"/>
  <c r="Z35" i="8"/>
  <c r="Q35" i="8"/>
  <c r="E30" i="8"/>
  <c r="AE29" i="8"/>
  <c r="AD29" i="8"/>
  <c r="E29" i="8"/>
  <c r="AE28" i="8"/>
  <c r="AD28" i="8"/>
  <c r="AD43" i="8"/>
  <c r="U43" i="8"/>
  <c r="Z43" i="8"/>
  <c r="E28" i="8"/>
  <c r="AE27" i="8"/>
  <c r="AD27" i="8"/>
  <c r="E27" i="8"/>
  <c r="AE26" i="8"/>
  <c r="AD26" i="8"/>
  <c r="AD36" i="8"/>
  <c r="U36" i="8"/>
  <c r="Z36" i="8"/>
  <c r="I36" i="8"/>
  <c r="L36" i="8"/>
  <c r="E26" i="8"/>
  <c r="AE25" i="8"/>
  <c r="AD25" i="8"/>
  <c r="E25" i="8"/>
  <c r="AE24" i="8"/>
  <c r="AD24" i="8"/>
  <c r="E24" i="8"/>
  <c r="AE23" i="8"/>
  <c r="AD23" i="8"/>
  <c r="S49" i="8"/>
  <c r="O49" i="8"/>
  <c r="E23" i="8"/>
  <c r="E49" i="8"/>
  <c r="AE22" i="8"/>
  <c r="AD22" i="8"/>
  <c r="AD37" i="8"/>
  <c r="U37" i="8"/>
  <c r="Z37" i="8"/>
  <c r="Q37" i="8"/>
  <c r="E22" i="8"/>
  <c r="AE21" i="8"/>
  <c r="AD21" i="8"/>
  <c r="E21" i="8"/>
  <c r="AE20" i="8"/>
  <c r="AD20" i="8"/>
  <c r="E20" i="8"/>
  <c r="AG42" i="8"/>
  <c r="AE19" i="8"/>
  <c r="AD19" i="8"/>
  <c r="S42" i="8"/>
  <c r="O42" i="8"/>
  <c r="E19" i="8"/>
  <c r="AE18" i="8"/>
  <c r="AD18" i="8"/>
  <c r="E18" i="8"/>
  <c r="AE17" i="8"/>
  <c r="AD17" i="8"/>
  <c r="E17" i="8"/>
  <c r="AE16" i="8"/>
  <c r="AD16" i="8"/>
  <c r="E16" i="8"/>
  <c r="AE15" i="8"/>
  <c r="AD15" i="8"/>
  <c r="S44" i="8"/>
  <c r="E15" i="8"/>
  <c r="AE14" i="8"/>
  <c r="AD14" i="8"/>
  <c r="AD34" i="8"/>
  <c r="U34" i="8"/>
  <c r="Z34" i="8"/>
  <c r="I34" i="8"/>
  <c r="L34" i="8"/>
  <c r="E14" i="8"/>
  <c r="AG33" i="8"/>
  <c r="AE13" i="8"/>
  <c r="AD13" i="8"/>
  <c r="O33" i="8"/>
  <c r="E13" i="8"/>
  <c r="E33" i="8"/>
  <c r="AE12" i="8"/>
  <c r="AD12" i="8"/>
  <c r="E12" i="8"/>
  <c r="AG39" i="8"/>
  <c r="AE11" i="8"/>
  <c r="AD11" i="8"/>
  <c r="S39" i="8"/>
  <c r="O39" i="8"/>
  <c r="E11" i="8"/>
  <c r="AE10" i="8"/>
  <c r="AD10" i="8"/>
  <c r="AD46" i="8"/>
  <c r="Q46" i="8"/>
  <c r="E10" i="8"/>
  <c r="AE9" i="8"/>
  <c r="AD9" i="8"/>
  <c r="E9" i="8"/>
  <c r="AE8" i="8"/>
  <c r="AD8" i="8"/>
  <c r="AD41" i="8"/>
  <c r="U41" i="8"/>
  <c r="Z41" i="8"/>
  <c r="Q41" i="8"/>
  <c r="I41" i="8"/>
  <c r="L41" i="8"/>
  <c r="E8" i="8"/>
  <c r="AE7" i="8"/>
  <c r="AD7" i="8"/>
  <c r="E7" i="8"/>
  <c r="AE6" i="8"/>
  <c r="AD6" i="8"/>
  <c r="AD47" i="8"/>
  <c r="Q47" i="8"/>
  <c r="E6" i="8"/>
  <c r="AE5" i="8"/>
  <c r="AD5" i="8"/>
  <c r="E5" i="8"/>
  <c r="AE4" i="8"/>
  <c r="AD4" i="8"/>
  <c r="AD40" i="8"/>
  <c r="U40" i="8"/>
  <c r="Z40" i="8"/>
  <c r="Q40" i="8"/>
  <c r="E4" i="8"/>
  <c r="AG32" i="8"/>
  <c r="AE3" i="8"/>
  <c r="AE32" i="8"/>
  <c r="AD3" i="8"/>
  <c r="S32" i="8"/>
  <c r="E3" i="8"/>
  <c r="E32" i="8"/>
  <c r="AE2" i="8"/>
  <c r="AD2" i="8"/>
  <c r="AD38" i="8"/>
  <c r="U38" i="8"/>
  <c r="Z38" i="8"/>
  <c r="T38" i="8"/>
  <c r="Y38" i="8"/>
  <c r="Q38" i="8"/>
  <c r="F38" i="8"/>
  <c r="E2" i="8"/>
  <c r="AG35" i="8"/>
  <c r="AE35" i="8"/>
  <c r="V35" i="8"/>
  <c r="AA35" i="8"/>
  <c r="R35" i="8"/>
  <c r="H30" i="8"/>
  <c r="E35" i="8"/>
  <c r="D30" i="8"/>
  <c r="D35" i="8"/>
  <c r="H29" i="8"/>
  <c r="D29" i="8"/>
  <c r="AE43" i="8"/>
  <c r="H28" i="8"/>
  <c r="E43" i="8"/>
  <c r="D28" i="8"/>
  <c r="D43" i="8"/>
  <c r="H27" i="8"/>
  <c r="D27" i="8"/>
  <c r="R36" i="8"/>
  <c r="Q36" i="8"/>
  <c r="H26" i="8"/>
  <c r="E36" i="8"/>
  <c r="D26" i="8"/>
  <c r="D36" i="8"/>
  <c r="H25" i="8"/>
  <c r="D25" i="8"/>
  <c r="H24" i="8"/>
  <c r="D24" i="8"/>
  <c r="AE49" i="8"/>
  <c r="AD49" i="8"/>
  <c r="V49" i="8"/>
  <c r="U49" i="8"/>
  <c r="Q49" i="8"/>
  <c r="J49" i="8"/>
  <c r="I49" i="8"/>
  <c r="H23" i="8"/>
  <c r="F49" i="8"/>
  <c r="D23" i="8"/>
  <c r="D49" i="8"/>
  <c r="AE37" i="8"/>
  <c r="V37" i="8"/>
  <c r="AA37" i="8"/>
  <c r="R37" i="8"/>
  <c r="H22" i="8"/>
  <c r="E37" i="8"/>
  <c r="D22" i="8"/>
  <c r="H21" i="8"/>
  <c r="D21" i="8"/>
  <c r="H20" i="8"/>
  <c r="D20" i="8"/>
  <c r="AE42" i="8"/>
  <c r="AD42" i="8"/>
  <c r="V42" i="8"/>
  <c r="AA42" i="8"/>
  <c r="U42" i="8"/>
  <c r="Z42" i="8"/>
  <c r="Q42" i="8"/>
  <c r="J42" i="8"/>
  <c r="M42" i="8"/>
  <c r="I42" i="8"/>
  <c r="L42" i="8"/>
  <c r="H19" i="8"/>
  <c r="F42" i="8"/>
  <c r="E42" i="8"/>
  <c r="D19" i="8"/>
  <c r="D42" i="8"/>
  <c r="H18" i="8"/>
  <c r="D18" i="8"/>
  <c r="H17" i="8"/>
  <c r="D17" i="8"/>
  <c r="H16" i="8"/>
  <c r="D16" i="8"/>
  <c r="AD44" i="8"/>
  <c r="V44" i="8"/>
  <c r="AA44" i="8"/>
  <c r="Q44" i="8"/>
  <c r="O44" i="8"/>
  <c r="I44" i="8"/>
  <c r="L44" i="8"/>
  <c r="H15" i="8"/>
  <c r="F44" i="8"/>
  <c r="E44" i="8"/>
  <c r="D15" i="8"/>
  <c r="D44" i="8"/>
  <c r="AE34" i="8"/>
  <c r="V34" i="8"/>
  <c r="AA34" i="8"/>
  <c r="R34" i="8"/>
  <c r="Q34" i="8"/>
  <c r="O34" i="8"/>
  <c r="H14" i="8"/>
  <c r="E34" i="8"/>
  <c r="D14" i="8"/>
  <c r="D34" i="8"/>
  <c r="AE33" i="8"/>
  <c r="AD33" i="8"/>
  <c r="V33" i="8"/>
  <c r="AA33" i="8"/>
  <c r="R33" i="8"/>
  <c r="H13" i="8"/>
  <c r="D13" i="8"/>
  <c r="D33" i="8"/>
  <c r="H12" i="8"/>
  <c r="D12" i="8"/>
  <c r="AE39" i="8"/>
  <c r="AD39" i="8"/>
  <c r="U39" i="8"/>
  <c r="Z39" i="8"/>
  <c r="Q39" i="8"/>
  <c r="I39" i="8"/>
  <c r="L39" i="8"/>
  <c r="H11" i="8"/>
  <c r="D11" i="8"/>
  <c r="D39" i="8"/>
  <c r="V46" i="8"/>
  <c r="U46" i="8"/>
  <c r="R46" i="8"/>
  <c r="H10" i="8"/>
  <c r="E46" i="8"/>
  <c r="D10" i="8"/>
  <c r="D46" i="8"/>
  <c r="H9" i="8"/>
  <c r="D9" i="8"/>
  <c r="AE41" i="8"/>
  <c r="R41" i="8"/>
  <c r="H8" i="8"/>
  <c r="E41" i="8"/>
  <c r="D8" i="8"/>
  <c r="D41" i="8"/>
  <c r="H7" i="8"/>
  <c r="D7" i="8"/>
  <c r="AE47" i="8"/>
  <c r="V47" i="8"/>
  <c r="AA47" i="8"/>
  <c r="U47" i="8"/>
  <c r="Z47" i="8"/>
  <c r="H6" i="8"/>
  <c r="E47" i="8"/>
  <c r="D6" i="8"/>
  <c r="D47" i="8"/>
  <c r="H5" i="8"/>
  <c r="D5" i="8"/>
  <c r="AG40" i="8"/>
  <c r="AE40" i="8"/>
  <c r="R40" i="8"/>
  <c r="O40" i="8"/>
  <c r="J40" i="8"/>
  <c r="M40" i="8"/>
  <c r="I40" i="8"/>
  <c r="L40" i="8"/>
  <c r="H4" i="8"/>
  <c r="D4" i="8"/>
  <c r="D40" i="8"/>
  <c r="V32" i="8"/>
  <c r="U32" i="8"/>
  <c r="Q32" i="8"/>
  <c r="I32" i="8"/>
  <c r="H3" i="8"/>
  <c r="AE38" i="8"/>
  <c r="I38" i="8"/>
  <c r="L38" i="8"/>
  <c r="H2" i="8"/>
  <c r="E38" i="8"/>
  <c r="D2" i="8"/>
  <c r="D38" i="8"/>
  <c r="I43" i="8"/>
  <c r="L43" i="8"/>
  <c r="U44" i="8"/>
  <c r="Z44" i="8"/>
  <c r="Q33" i="8"/>
  <c r="E39" i="8"/>
  <c r="AE36" i="8"/>
  <c r="V36" i="8"/>
  <c r="AA36" i="8"/>
  <c r="R49" i="8"/>
  <c r="V39" i="8"/>
  <c r="AA39" i="8"/>
  <c r="R47" i="8"/>
  <c r="E40" i="8"/>
  <c r="V38" i="8"/>
  <c r="AA38" i="8"/>
  <c r="R38" i="8"/>
  <c r="AG44" i="8"/>
  <c r="S33" i="8"/>
  <c r="O32" i="8"/>
  <c r="AE46" i="8"/>
  <c r="AH40" i="8"/>
  <c r="AJ40" i="8"/>
  <c r="X40" i="8"/>
  <c r="AC40" i="8"/>
  <c r="P40" i="8"/>
  <c r="H40" i="8"/>
  <c r="K40" i="8"/>
  <c r="O41" i="8"/>
  <c r="F41" i="8"/>
  <c r="O47" i="8"/>
  <c r="AH35" i="8"/>
  <c r="AJ35" i="8"/>
  <c r="P35" i="8"/>
  <c r="O35" i="8"/>
  <c r="H35" i="8"/>
  <c r="AH43" i="8"/>
  <c r="AJ43" i="8"/>
  <c r="AG43" i="8"/>
  <c r="S43" i="8"/>
  <c r="R43" i="8"/>
  <c r="P43" i="8"/>
  <c r="O43" i="8"/>
  <c r="H43" i="8"/>
  <c r="K43" i="8"/>
  <c r="F43" i="8"/>
  <c r="AH36" i="8"/>
  <c r="AJ36" i="8"/>
  <c r="AG36" i="8"/>
  <c r="X36" i="8"/>
  <c r="AC36" i="8"/>
  <c r="W36" i="8"/>
  <c r="AB36" i="8"/>
  <c r="P36" i="8"/>
  <c r="O36" i="8"/>
  <c r="H36" i="8"/>
  <c r="T49" i="8"/>
  <c r="P49" i="8"/>
  <c r="H49" i="8"/>
  <c r="AH37" i="8"/>
  <c r="AJ37" i="8"/>
  <c r="AG37" i="8"/>
  <c r="W37" i="8"/>
  <c r="AB37" i="8"/>
  <c r="P37" i="8"/>
  <c r="H37" i="8"/>
  <c r="AH42" i="8"/>
  <c r="AJ42" i="8"/>
  <c r="T42" i="8"/>
  <c r="Y42" i="8"/>
  <c r="P42" i="8"/>
  <c r="H42" i="8"/>
  <c r="AH44" i="8"/>
  <c r="AJ44" i="8"/>
  <c r="AE44" i="8"/>
  <c r="X44" i="8"/>
  <c r="AC44" i="8"/>
  <c r="P44" i="8"/>
  <c r="H44" i="8"/>
  <c r="AH34" i="8"/>
  <c r="AJ34" i="8"/>
  <c r="AG34" i="8"/>
  <c r="S34" i="8"/>
  <c r="P34" i="8"/>
  <c r="H34" i="8"/>
  <c r="AH33" i="8"/>
  <c r="AJ33" i="8"/>
  <c r="X33" i="8"/>
  <c r="AC33" i="8"/>
  <c r="H33" i="8"/>
  <c r="AH39" i="8"/>
  <c r="AJ39" i="8"/>
  <c r="P39" i="8"/>
  <c r="H39" i="8"/>
  <c r="F39" i="8"/>
  <c r="W46" i="8"/>
  <c r="P46" i="8"/>
  <c r="O46" i="8"/>
  <c r="H46" i="8"/>
  <c r="AH41" i="8"/>
  <c r="AJ41" i="8"/>
  <c r="AG41" i="8"/>
  <c r="X41" i="8"/>
  <c r="AC41" i="8"/>
  <c r="W41" i="8"/>
  <c r="AB41" i="8"/>
  <c r="S41" i="8"/>
  <c r="P41" i="8"/>
  <c r="H41" i="8"/>
  <c r="AJ47" i="8"/>
  <c r="P47" i="8"/>
  <c r="H47" i="8"/>
  <c r="W40" i="8"/>
  <c r="AB40" i="8"/>
  <c r="S40" i="8"/>
  <c r="F40" i="8"/>
  <c r="AH32" i="8"/>
  <c r="X32" i="8"/>
  <c r="P32" i="8"/>
  <c r="H32" i="8"/>
  <c r="F32" i="8"/>
  <c r="AH38" i="8"/>
  <c r="AJ38" i="8"/>
  <c r="AG38" i="8"/>
  <c r="X38" i="8"/>
  <c r="AC38" i="8"/>
  <c r="W38" i="8"/>
  <c r="AB38" i="8"/>
  <c r="S38" i="8"/>
  <c r="P38" i="8"/>
  <c r="O38" i="8"/>
  <c r="H38" i="8"/>
  <c r="U27" i="27"/>
  <c r="U76" i="27"/>
  <c r="W3" i="3"/>
  <c r="T9" i="3"/>
  <c r="T8" i="3"/>
  <c r="W10" i="3"/>
  <c r="W5" i="3"/>
  <c r="W6" i="3"/>
  <c r="W11" i="3"/>
  <c r="W7" i="3"/>
  <c r="W12" i="3"/>
  <c r="W8" i="3"/>
  <c r="W9" i="3"/>
  <c r="T4" i="3"/>
  <c r="W4" i="3"/>
  <c r="W2" i="3"/>
  <c r="T27" i="27"/>
  <c r="T76" i="27"/>
  <c r="S27" i="27"/>
  <c r="S76" i="27"/>
  <c r="T3" i="3"/>
  <c r="T10" i="3"/>
  <c r="T5" i="3"/>
  <c r="T6" i="3"/>
  <c r="T11" i="3"/>
  <c r="T7" i="3"/>
  <c r="T2" i="3"/>
  <c r="I27" i="27"/>
  <c r="I76" i="27"/>
  <c r="H27" i="27"/>
  <c r="H76" i="27"/>
  <c r="T18" i="27"/>
  <c r="T75" i="27"/>
  <c r="S18" i="27"/>
  <c r="S75" i="27"/>
  <c r="J18" i="27"/>
  <c r="J75" i="27"/>
  <c r="I18" i="27"/>
  <c r="I75" i="27"/>
  <c r="H18" i="27"/>
  <c r="H75" i="27"/>
  <c r="T12" i="27"/>
  <c r="T74" i="27"/>
  <c r="S12" i="27"/>
  <c r="S74" i="27"/>
  <c r="I12" i="27"/>
  <c r="I74" i="27"/>
  <c r="H12" i="27"/>
  <c r="H74" i="27"/>
  <c r="T7" i="27"/>
  <c r="T73" i="27"/>
  <c r="S7" i="27"/>
  <c r="S73" i="27"/>
  <c r="I7" i="27"/>
  <c r="I73" i="27"/>
  <c r="H7" i="27"/>
  <c r="H73" i="27"/>
  <c r="U16" i="27"/>
  <c r="U72" i="27"/>
  <c r="T16" i="27"/>
  <c r="T72" i="27"/>
  <c r="S16" i="27"/>
  <c r="S72" i="27"/>
  <c r="I16" i="27"/>
  <c r="I72" i="27"/>
  <c r="H16" i="27"/>
  <c r="H72" i="27"/>
  <c r="T29" i="27"/>
  <c r="T71" i="27"/>
  <c r="S29" i="27"/>
  <c r="S71" i="27"/>
  <c r="J29" i="27"/>
  <c r="J71" i="27"/>
  <c r="I29" i="27"/>
  <c r="I71" i="27"/>
  <c r="H29" i="27"/>
  <c r="H71" i="27"/>
  <c r="T20" i="27"/>
  <c r="T70" i="27"/>
  <c r="S20" i="27"/>
  <c r="S70" i="27"/>
  <c r="I20" i="27"/>
  <c r="I70" i="27"/>
  <c r="H20" i="27"/>
  <c r="H70" i="27"/>
  <c r="T24" i="27"/>
  <c r="T69" i="27"/>
  <c r="S24" i="27"/>
  <c r="S69" i="27"/>
  <c r="I24" i="27"/>
  <c r="I69" i="27"/>
  <c r="H24" i="27"/>
  <c r="H69" i="27"/>
  <c r="U9" i="27"/>
  <c r="U68" i="27"/>
  <c r="T9" i="27"/>
  <c r="T68" i="27"/>
  <c r="S9" i="27"/>
  <c r="S68" i="27"/>
  <c r="I9" i="27"/>
  <c r="I68" i="27"/>
  <c r="H9" i="27"/>
  <c r="H68" i="27"/>
  <c r="T5" i="27"/>
  <c r="T67" i="27"/>
  <c r="S5" i="27"/>
  <c r="S67" i="27"/>
  <c r="I5" i="27"/>
  <c r="I67" i="27"/>
  <c r="H5" i="27"/>
  <c r="H67" i="27"/>
  <c r="T17" i="27"/>
  <c r="T66" i="27"/>
  <c r="S17" i="27"/>
  <c r="S66" i="27"/>
  <c r="I17" i="27"/>
  <c r="I66" i="27"/>
  <c r="H17" i="27"/>
  <c r="H66" i="27"/>
  <c r="T21" i="27"/>
  <c r="T65" i="27"/>
  <c r="S21" i="27"/>
  <c r="S65" i="27"/>
  <c r="I21" i="27"/>
  <c r="I65" i="27"/>
  <c r="H21" i="27"/>
  <c r="H65" i="27"/>
  <c r="U25" i="27"/>
  <c r="U64" i="27"/>
  <c r="T25" i="27"/>
  <c r="T64" i="27"/>
  <c r="S25" i="27"/>
  <c r="S64" i="27"/>
  <c r="I25" i="27"/>
  <c r="I64" i="27"/>
  <c r="H25" i="27"/>
  <c r="H64" i="27"/>
  <c r="T62" i="27"/>
  <c r="S62" i="27"/>
  <c r="J27" i="27"/>
  <c r="J62" i="27"/>
  <c r="I62" i="27"/>
  <c r="H62" i="27"/>
  <c r="T61" i="27"/>
  <c r="S61" i="27"/>
  <c r="I61" i="27"/>
  <c r="H61" i="27"/>
  <c r="T60" i="27"/>
  <c r="S60" i="27"/>
  <c r="I60" i="27"/>
  <c r="H60" i="27"/>
  <c r="U7" i="27"/>
  <c r="U59" i="27"/>
  <c r="T59" i="27"/>
  <c r="S59" i="27"/>
  <c r="I59" i="27"/>
  <c r="H59" i="27"/>
  <c r="T58" i="27"/>
  <c r="S58" i="27"/>
  <c r="J16" i="27"/>
  <c r="J58" i="27"/>
  <c r="I58" i="27"/>
  <c r="H58" i="27"/>
  <c r="T57" i="27"/>
  <c r="S57" i="27"/>
  <c r="I57" i="27"/>
  <c r="H57" i="27"/>
  <c r="T56" i="27"/>
  <c r="S56" i="27"/>
  <c r="I56" i="27"/>
  <c r="H56" i="27"/>
  <c r="U24" i="27"/>
  <c r="U55" i="27"/>
  <c r="T55" i="27"/>
  <c r="S55" i="27"/>
  <c r="I55" i="27"/>
  <c r="H55" i="27"/>
  <c r="T54" i="27"/>
  <c r="S54" i="27"/>
  <c r="J9" i="27"/>
  <c r="J54" i="27"/>
  <c r="I54" i="27"/>
  <c r="H54" i="27"/>
  <c r="T53" i="27"/>
  <c r="S53" i="27"/>
  <c r="I53" i="27"/>
  <c r="H53" i="27"/>
  <c r="T52" i="27"/>
  <c r="S52" i="27"/>
  <c r="I52" i="27"/>
  <c r="H52" i="27"/>
  <c r="U21" i="27"/>
  <c r="U51" i="27"/>
  <c r="T51" i="27"/>
  <c r="S51" i="27"/>
  <c r="I51" i="27"/>
  <c r="H51" i="27"/>
  <c r="T50" i="27"/>
  <c r="S50" i="27"/>
  <c r="J25" i="27"/>
  <c r="J50" i="27"/>
  <c r="I50" i="27"/>
  <c r="H50" i="27"/>
  <c r="T23" i="27"/>
  <c r="T49" i="27"/>
  <c r="S23" i="27"/>
  <c r="S49" i="27"/>
  <c r="I23" i="27"/>
  <c r="I49" i="27"/>
  <c r="H23" i="27"/>
  <c r="H49" i="27"/>
  <c r="T6" i="27"/>
  <c r="T47" i="27"/>
  <c r="S6" i="27"/>
  <c r="S47" i="27"/>
  <c r="I6" i="27"/>
  <c r="I47" i="27"/>
  <c r="H6" i="27"/>
  <c r="H47" i="27"/>
  <c r="U10" i="27"/>
  <c r="U46" i="27"/>
  <c r="T10" i="27"/>
  <c r="T46" i="27"/>
  <c r="S10" i="27"/>
  <c r="S46" i="27"/>
  <c r="I10" i="27"/>
  <c r="I46" i="27"/>
  <c r="H10" i="27"/>
  <c r="H46" i="27"/>
  <c r="T15" i="27"/>
  <c r="T44" i="27"/>
  <c r="S15" i="27"/>
  <c r="S44" i="27"/>
  <c r="J15" i="27"/>
  <c r="J44" i="27"/>
  <c r="I15" i="27"/>
  <c r="I44" i="27"/>
  <c r="H15" i="27"/>
  <c r="H44" i="27"/>
  <c r="T28" i="27"/>
  <c r="T43" i="27"/>
  <c r="S28" i="27"/>
  <c r="S43" i="27"/>
  <c r="I28" i="27"/>
  <c r="I43" i="27"/>
  <c r="H28" i="27"/>
  <c r="H43" i="27"/>
  <c r="T19" i="27"/>
  <c r="T42" i="27"/>
  <c r="S19" i="27"/>
  <c r="S42" i="27"/>
  <c r="I19" i="27"/>
  <c r="I42" i="27"/>
  <c r="H19" i="27"/>
  <c r="H42" i="27"/>
  <c r="U8" i="27"/>
  <c r="U41" i="27"/>
  <c r="T8" i="27"/>
  <c r="T41" i="27"/>
  <c r="S8" i="27"/>
  <c r="S41" i="27"/>
  <c r="I8" i="27"/>
  <c r="I41" i="27"/>
  <c r="H8" i="27"/>
  <c r="H41" i="27"/>
  <c r="T4" i="27"/>
  <c r="T40" i="27"/>
  <c r="S4" i="27"/>
  <c r="S40" i="27"/>
  <c r="I4" i="27"/>
  <c r="I40" i="27"/>
  <c r="H4" i="27"/>
  <c r="H40" i="27"/>
  <c r="T11" i="27"/>
  <c r="T39" i="27"/>
  <c r="S11" i="27"/>
  <c r="S39" i="27"/>
  <c r="I11" i="27"/>
  <c r="I39" i="27"/>
  <c r="H11" i="27"/>
  <c r="H39" i="27"/>
  <c r="T2" i="27"/>
  <c r="T38" i="27"/>
  <c r="S2" i="27"/>
  <c r="S38" i="27"/>
  <c r="I2" i="27"/>
  <c r="I38" i="27"/>
  <c r="H2" i="27"/>
  <c r="H38" i="27"/>
  <c r="U22" i="27"/>
  <c r="U37" i="27"/>
  <c r="X37" i="27"/>
  <c r="T22" i="27"/>
  <c r="T37" i="27"/>
  <c r="S22" i="27"/>
  <c r="S37" i="27"/>
  <c r="I22" i="27"/>
  <c r="I37" i="27"/>
  <c r="H22" i="27"/>
  <c r="H37" i="27"/>
  <c r="T26" i="27"/>
  <c r="T36" i="27"/>
  <c r="S26" i="27"/>
  <c r="S36" i="27"/>
  <c r="J26" i="27"/>
  <c r="J36" i="27"/>
  <c r="M36" i="27"/>
  <c r="I26" i="27"/>
  <c r="I36" i="27"/>
  <c r="H26" i="27"/>
  <c r="H36" i="27"/>
  <c r="T30" i="27"/>
  <c r="T35" i="27"/>
  <c r="S30" i="27"/>
  <c r="S35" i="27"/>
  <c r="I30" i="27"/>
  <c r="I35" i="27"/>
  <c r="H30" i="27"/>
  <c r="H35" i="27"/>
  <c r="T14" i="27"/>
  <c r="T34" i="27"/>
  <c r="S14" i="27"/>
  <c r="S34" i="27"/>
  <c r="I14" i="27"/>
  <c r="I34" i="27"/>
  <c r="H14" i="27"/>
  <c r="H34" i="27"/>
  <c r="U13" i="27"/>
  <c r="U33" i="27"/>
  <c r="T13" i="27"/>
  <c r="T33" i="27"/>
  <c r="S13" i="27"/>
  <c r="S33" i="27"/>
  <c r="I13" i="27"/>
  <c r="I33" i="27"/>
  <c r="H13" i="27"/>
  <c r="H33" i="27"/>
  <c r="T3" i="27"/>
  <c r="T32" i="27"/>
  <c r="S3" i="27"/>
  <c r="S32" i="27"/>
  <c r="I3" i="27"/>
  <c r="I32" i="27"/>
  <c r="H3" i="27"/>
  <c r="H32" i="27"/>
  <c r="U30" i="27"/>
  <c r="U35" i="27"/>
  <c r="X35" i="27"/>
  <c r="J30" i="27"/>
  <c r="J35" i="27"/>
  <c r="M35" i="27"/>
  <c r="U29" i="27"/>
  <c r="U71" i="27"/>
  <c r="R29" i="27"/>
  <c r="J57" i="27"/>
  <c r="U28" i="27"/>
  <c r="U43" i="27"/>
  <c r="R28" i="27"/>
  <c r="J28" i="27"/>
  <c r="J43" i="27"/>
  <c r="M43" i="27"/>
  <c r="U62" i="27"/>
  <c r="R27" i="27"/>
  <c r="J76" i="27"/>
  <c r="G27" i="27"/>
  <c r="U26" i="27"/>
  <c r="U36" i="27"/>
  <c r="U50" i="27"/>
  <c r="R25" i="27"/>
  <c r="J64" i="27"/>
  <c r="U69" i="27"/>
  <c r="R24" i="27"/>
  <c r="J24" i="27"/>
  <c r="J69" i="27"/>
  <c r="U23" i="27"/>
  <c r="U49" i="27"/>
  <c r="J23" i="27"/>
  <c r="J49" i="27"/>
  <c r="J22" i="27"/>
  <c r="J37" i="27"/>
  <c r="U65" i="27"/>
  <c r="J21" i="27"/>
  <c r="J65" i="27"/>
  <c r="U20" i="27"/>
  <c r="U70" i="27"/>
  <c r="J20" i="27"/>
  <c r="J70" i="27"/>
  <c r="U19" i="27"/>
  <c r="U42" i="27"/>
  <c r="J19" i="27"/>
  <c r="J42" i="27"/>
  <c r="M42" i="27"/>
  <c r="U18" i="27"/>
  <c r="U75" i="27"/>
  <c r="J61" i="27"/>
  <c r="G18" i="27"/>
  <c r="U17" i="27"/>
  <c r="U66" i="27"/>
  <c r="J17" i="27"/>
  <c r="J66" i="27"/>
  <c r="U58" i="27"/>
  <c r="J72" i="27"/>
  <c r="G16" i="27"/>
  <c r="U15" i="27"/>
  <c r="U44" i="27"/>
  <c r="X44" i="27"/>
  <c r="G15" i="27"/>
  <c r="U14" i="27"/>
  <c r="U34" i="27"/>
  <c r="J14" i="27"/>
  <c r="J34" i="27"/>
  <c r="M34" i="27"/>
  <c r="J13" i="27"/>
  <c r="J33" i="27"/>
  <c r="U12" i="27"/>
  <c r="U74" i="27"/>
  <c r="J12" i="27"/>
  <c r="J74" i="27"/>
  <c r="G12" i="27"/>
  <c r="U11" i="27"/>
  <c r="U39" i="27"/>
  <c r="X39" i="27"/>
  <c r="J11" i="27"/>
  <c r="J39" i="27"/>
  <c r="J10" i="27"/>
  <c r="J46" i="27"/>
  <c r="U54" i="27"/>
  <c r="R9" i="27"/>
  <c r="J68" i="27"/>
  <c r="J8" i="27"/>
  <c r="J41" i="27"/>
  <c r="U73" i="27"/>
  <c r="R7" i="27"/>
  <c r="J7" i="27"/>
  <c r="J73" i="27"/>
  <c r="G7" i="27"/>
  <c r="U6" i="27"/>
  <c r="U47" i="27"/>
  <c r="J6" i="27"/>
  <c r="J47" i="27"/>
  <c r="M47" i="27"/>
  <c r="U5" i="27"/>
  <c r="J5" i="27"/>
  <c r="J53" i="27"/>
  <c r="U4" i="27"/>
  <c r="U40" i="27"/>
  <c r="X40" i="27"/>
  <c r="R4" i="27"/>
  <c r="J4" i="27"/>
  <c r="J40" i="27"/>
  <c r="M40" i="27"/>
  <c r="U3" i="27"/>
  <c r="U32" i="27"/>
  <c r="J3" i="27"/>
  <c r="J32" i="27"/>
  <c r="U2" i="27"/>
  <c r="U38" i="27"/>
  <c r="X38" i="27"/>
  <c r="J2" i="27"/>
  <c r="J38" i="27"/>
  <c r="W35" i="27"/>
  <c r="R30" i="27"/>
  <c r="L35" i="27"/>
  <c r="X43" i="27"/>
  <c r="W43" i="27"/>
  <c r="L43" i="27"/>
  <c r="X36" i="27"/>
  <c r="W36" i="27"/>
  <c r="R26" i="27"/>
  <c r="L36" i="27"/>
  <c r="G24" i="27"/>
  <c r="G23" i="27"/>
  <c r="W37" i="27"/>
  <c r="M37" i="27"/>
  <c r="L37" i="27"/>
  <c r="R21" i="27"/>
  <c r="R20" i="27"/>
  <c r="G20" i="27"/>
  <c r="X42" i="27"/>
  <c r="W42" i="27"/>
  <c r="L42" i="27"/>
  <c r="G19" i="27"/>
  <c r="R17" i="27"/>
  <c r="R16" i="27"/>
  <c r="W44" i="27"/>
  <c r="M44" i="27"/>
  <c r="L44" i="27"/>
  <c r="X34" i="27"/>
  <c r="W34" i="27"/>
  <c r="L34" i="27"/>
  <c r="X33" i="27"/>
  <c r="W33" i="27"/>
  <c r="M33" i="27"/>
  <c r="L33" i="27"/>
  <c r="R12" i="27"/>
  <c r="W39" i="27"/>
  <c r="M39" i="27"/>
  <c r="L39" i="27"/>
  <c r="G11" i="27"/>
  <c r="X41" i="27"/>
  <c r="W41" i="27"/>
  <c r="R8" i="27"/>
  <c r="M41" i="27"/>
  <c r="L41" i="27"/>
  <c r="X47" i="27"/>
  <c r="W47" i="27"/>
  <c r="L47" i="27"/>
  <c r="R5" i="27"/>
  <c r="W40" i="27"/>
  <c r="L40" i="27"/>
  <c r="G3" i="27"/>
  <c r="W38" i="27"/>
  <c r="M38" i="27"/>
  <c r="L38" i="27"/>
  <c r="AD2" i="14"/>
  <c r="Z3" i="14"/>
  <c r="Z4" i="14"/>
  <c r="Z5" i="14"/>
  <c r="Z6" i="14"/>
  <c r="Z47" i="14"/>
  <c r="Z7" i="14"/>
  <c r="Z8" i="14"/>
  <c r="Z9" i="14"/>
  <c r="Z10" i="14"/>
  <c r="Z46" i="14"/>
  <c r="Z11" i="14"/>
  <c r="Z12" i="14"/>
  <c r="Z13" i="14"/>
  <c r="Z14" i="14"/>
  <c r="Z34" i="14"/>
  <c r="Z15" i="14"/>
  <c r="Z16" i="14"/>
  <c r="Z17" i="14"/>
  <c r="Z18" i="14"/>
  <c r="Z19" i="14"/>
  <c r="Z20" i="14"/>
  <c r="Z21" i="14"/>
  <c r="Z22" i="14"/>
  <c r="Z37" i="14"/>
  <c r="Z23" i="14"/>
  <c r="Z24" i="14"/>
  <c r="Z25" i="14"/>
  <c r="Z26" i="14"/>
  <c r="Z36" i="14"/>
  <c r="Z27" i="14"/>
  <c r="Z28" i="14"/>
  <c r="Z29" i="14"/>
  <c r="Z30" i="14"/>
  <c r="Z2" i="14"/>
  <c r="AA3" i="14"/>
  <c r="AB3" i="14"/>
  <c r="AC3" i="14"/>
  <c r="AD3" i="14"/>
  <c r="AA4" i="14"/>
  <c r="AB4" i="14"/>
  <c r="AC4" i="14"/>
  <c r="AD4" i="14"/>
  <c r="AA5" i="14"/>
  <c r="AB5" i="14"/>
  <c r="AC5" i="14"/>
  <c r="AD5" i="14"/>
  <c r="AA6" i="14"/>
  <c r="AB6" i="14"/>
  <c r="AC6" i="14"/>
  <c r="AD6" i="14"/>
  <c r="AA7" i="14"/>
  <c r="AB7" i="14"/>
  <c r="AC7" i="14"/>
  <c r="AD7" i="14"/>
  <c r="AA8" i="14"/>
  <c r="AB8" i="14"/>
  <c r="AC8" i="14"/>
  <c r="AD8" i="14"/>
  <c r="AA9" i="14"/>
  <c r="AB9" i="14"/>
  <c r="AC9" i="14"/>
  <c r="AD9" i="14"/>
  <c r="AA10" i="14"/>
  <c r="AB10" i="14"/>
  <c r="AC10" i="14"/>
  <c r="AD10" i="14"/>
  <c r="AA11" i="14"/>
  <c r="AB11" i="14"/>
  <c r="AC11" i="14"/>
  <c r="AD11" i="14"/>
  <c r="AA12" i="14"/>
  <c r="AB12" i="14"/>
  <c r="AC12" i="14"/>
  <c r="AD12" i="14"/>
  <c r="AA13" i="14"/>
  <c r="AB13" i="14"/>
  <c r="AC13" i="14"/>
  <c r="AD13" i="14"/>
  <c r="AA14" i="14"/>
  <c r="AB14" i="14"/>
  <c r="AC14" i="14"/>
  <c r="AD14" i="14"/>
  <c r="AA15" i="14"/>
  <c r="AB15" i="14"/>
  <c r="AC15" i="14"/>
  <c r="AD15" i="14"/>
  <c r="AA16" i="14"/>
  <c r="AB16" i="14"/>
  <c r="AC16" i="14"/>
  <c r="AD16" i="14"/>
  <c r="AA17" i="14"/>
  <c r="AB17" i="14"/>
  <c r="AC17" i="14"/>
  <c r="AD17" i="14"/>
  <c r="AA18" i="14"/>
  <c r="AB18" i="14"/>
  <c r="AC18" i="14"/>
  <c r="AD18" i="14"/>
  <c r="AA19" i="14"/>
  <c r="AB19" i="14"/>
  <c r="AC19" i="14"/>
  <c r="AD19" i="14"/>
  <c r="AA20" i="14"/>
  <c r="AB20" i="14"/>
  <c r="AC20" i="14"/>
  <c r="AD20" i="14"/>
  <c r="AA21" i="14"/>
  <c r="AB21" i="14"/>
  <c r="AC21" i="14"/>
  <c r="AD21" i="14"/>
  <c r="AA22" i="14"/>
  <c r="AB22" i="14"/>
  <c r="AC22" i="14"/>
  <c r="AD22" i="14"/>
  <c r="AA23" i="14"/>
  <c r="AB23" i="14"/>
  <c r="AC23" i="14"/>
  <c r="AD23" i="14"/>
  <c r="AA24" i="14"/>
  <c r="AB24" i="14"/>
  <c r="AC24" i="14"/>
  <c r="AD24" i="14"/>
  <c r="AA25" i="14"/>
  <c r="AB25" i="14"/>
  <c r="AC25" i="14"/>
  <c r="AD25" i="14"/>
  <c r="AA26" i="14"/>
  <c r="AB26" i="14"/>
  <c r="AC26" i="14"/>
  <c r="AD26" i="14"/>
  <c r="AA27" i="14"/>
  <c r="AB27" i="14"/>
  <c r="AC27" i="14"/>
  <c r="AD27" i="14"/>
  <c r="AA28" i="14"/>
  <c r="AB28" i="14"/>
  <c r="AC28" i="14"/>
  <c r="AD28" i="14"/>
  <c r="AA29" i="14"/>
  <c r="AB29" i="14"/>
  <c r="AC29" i="14"/>
  <c r="AD29" i="14"/>
  <c r="AA30" i="14"/>
  <c r="AB30" i="14"/>
  <c r="AC30" i="14"/>
  <c r="AD30" i="14"/>
  <c r="AB2" i="14"/>
  <c r="AC2" i="14"/>
  <c r="AA34" i="14"/>
  <c r="AA37" i="14"/>
  <c r="AA36" i="14"/>
  <c r="AA35" i="14"/>
  <c r="AA2" i="14"/>
  <c r="AA41" i="14"/>
  <c r="AA33" i="14"/>
  <c r="AA42" i="14"/>
  <c r="AA43" i="14"/>
  <c r="AF3" i="14"/>
  <c r="AG3" i="14"/>
  <c r="AH3" i="14"/>
  <c r="AI3" i="14"/>
  <c r="AF4" i="14"/>
  <c r="AG4" i="14"/>
  <c r="AH4" i="14"/>
  <c r="AI4" i="14"/>
  <c r="AI40" i="14"/>
  <c r="AN40" i="14"/>
  <c r="AF5" i="14"/>
  <c r="AG5" i="14"/>
  <c r="AH5" i="14"/>
  <c r="AI5" i="14"/>
  <c r="AI53" i="14"/>
  <c r="AF6" i="14"/>
  <c r="AG6" i="14"/>
  <c r="AH6" i="14"/>
  <c r="AI6" i="14"/>
  <c r="AI47" i="14"/>
  <c r="AN47" i="14"/>
  <c r="AF7" i="14"/>
  <c r="AG7" i="14"/>
  <c r="AH7" i="14"/>
  <c r="AI7" i="14"/>
  <c r="AI73" i="14"/>
  <c r="AF8" i="14"/>
  <c r="AG8" i="14"/>
  <c r="AH8" i="14"/>
  <c r="AI8" i="14"/>
  <c r="AF9" i="14"/>
  <c r="AG9" i="14"/>
  <c r="AH9" i="14"/>
  <c r="AI9" i="14"/>
  <c r="AI54" i="14"/>
  <c r="AF10" i="14"/>
  <c r="AG10" i="14"/>
  <c r="AH10" i="14"/>
  <c r="AI10" i="14"/>
  <c r="AI46" i="14"/>
  <c r="AN46" i="14"/>
  <c r="AF11" i="14"/>
  <c r="AG11" i="14"/>
  <c r="AH11" i="14"/>
  <c r="AI11" i="14"/>
  <c r="AI39" i="14"/>
  <c r="AN39" i="14"/>
  <c r="AF12" i="14"/>
  <c r="AG12" i="14"/>
  <c r="AH12" i="14"/>
  <c r="AI12" i="14"/>
  <c r="AI74" i="14"/>
  <c r="AF13" i="14"/>
  <c r="AG13" i="14"/>
  <c r="AH13" i="14"/>
  <c r="AI13" i="14"/>
  <c r="AI33" i="14"/>
  <c r="AN33" i="14"/>
  <c r="AF14" i="14"/>
  <c r="AG14" i="14"/>
  <c r="AH14" i="14"/>
  <c r="AI14" i="14"/>
  <c r="AF15" i="14"/>
  <c r="AG15" i="14"/>
  <c r="AH15" i="14"/>
  <c r="AI15" i="14"/>
  <c r="AI44" i="14"/>
  <c r="AN44" i="14"/>
  <c r="AF16" i="14"/>
  <c r="AG16" i="14"/>
  <c r="AH16" i="14"/>
  <c r="AI16" i="14"/>
  <c r="AI72" i="14"/>
  <c r="AF17" i="14"/>
  <c r="AG17" i="14"/>
  <c r="AH17" i="14"/>
  <c r="AI17" i="14"/>
  <c r="AI66" i="14"/>
  <c r="AF18" i="14"/>
  <c r="AG18" i="14"/>
  <c r="AH18" i="14"/>
  <c r="AI18" i="14"/>
  <c r="AI61" i="14"/>
  <c r="AF19" i="14"/>
  <c r="AG19" i="14"/>
  <c r="AH19" i="14"/>
  <c r="AI19" i="14"/>
  <c r="AI42" i="14"/>
  <c r="AN42" i="14"/>
  <c r="AF20" i="14"/>
  <c r="AG20" i="14"/>
  <c r="AH20" i="14"/>
  <c r="AI20" i="14"/>
  <c r="AI70" i="14"/>
  <c r="AF21" i="14"/>
  <c r="AG21" i="14"/>
  <c r="AH21" i="14"/>
  <c r="AI21" i="14"/>
  <c r="AI65" i="14"/>
  <c r="AF22" i="14"/>
  <c r="AG22" i="14"/>
  <c r="AH22" i="14"/>
  <c r="AI22" i="14"/>
  <c r="AI37" i="14"/>
  <c r="AN37" i="14"/>
  <c r="AF23" i="14"/>
  <c r="AG23" i="14"/>
  <c r="AH23" i="14"/>
  <c r="AI23" i="14"/>
  <c r="AF24" i="14"/>
  <c r="AG24" i="14"/>
  <c r="AH24" i="14"/>
  <c r="AI24" i="14"/>
  <c r="AI69" i="14"/>
  <c r="AF25" i="14"/>
  <c r="AG25" i="14"/>
  <c r="AH25" i="14"/>
  <c r="AI25" i="14"/>
  <c r="AI64" i="14"/>
  <c r="AF26" i="14"/>
  <c r="AG26" i="14"/>
  <c r="AH26" i="14"/>
  <c r="AI26" i="14"/>
  <c r="AI36" i="14"/>
  <c r="AN36" i="14"/>
  <c r="AF27" i="14"/>
  <c r="AG27" i="14"/>
  <c r="AH27" i="14"/>
  <c r="AI27" i="14"/>
  <c r="AI76" i="14"/>
  <c r="AF28" i="14"/>
  <c r="AG28" i="14"/>
  <c r="AH28" i="14"/>
  <c r="AI28" i="14"/>
  <c r="AI43" i="14"/>
  <c r="AN43" i="14"/>
  <c r="AF29" i="14"/>
  <c r="AG29" i="14"/>
  <c r="AH29" i="14"/>
  <c r="AI29" i="14"/>
  <c r="AI57" i="14"/>
  <c r="AF30" i="14"/>
  <c r="AG30" i="14"/>
  <c r="AH30" i="14"/>
  <c r="AI30" i="14"/>
  <c r="AI35" i="14"/>
  <c r="AN35" i="14"/>
  <c r="AI2" i="14"/>
  <c r="AH2" i="14"/>
  <c r="AG2" i="14"/>
  <c r="AF2" i="14"/>
  <c r="AE3" i="14"/>
  <c r="AE4" i="14"/>
  <c r="AE5" i="14"/>
  <c r="AE6" i="14"/>
  <c r="AE47" i="14"/>
  <c r="AJ47" i="14"/>
  <c r="AE7" i="14"/>
  <c r="AE8" i="14"/>
  <c r="AE9" i="14"/>
  <c r="AE10" i="14"/>
  <c r="AE46" i="14"/>
  <c r="AJ46" i="14"/>
  <c r="AE11" i="14"/>
  <c r="AE12" i="14"/>
  <c r="AE13" i="14"/>
  <c r="AE14" i="14"/>
  <c r="AE34" i="14"/>
  <c r="AJ34" i="14"/>
  <c r="AE15" i="14"/>
  <c r="AE16" i="14"/>
  <c r="AE17" i="14"/>
  <c r="AE18" i="14"/>
  <c r="AE75" i="14"/>
  <c r="AE19" i="14"/>
  <c r="AE20" i="14"/>
  <c r="AE21" i="14"/>
  <c r="AE22" i="14"/>
  <c r="AE23" i="14"/>
  <c r="AE24" i="14"/>
  <c r="AE25" i="14"/>
  <c r="AE26" i="14"/>
  <c r="AE36" i="14"/>
  <c r="AJ36" i="14"/>
  <c r="AE27" i="14"/>
  <c r="AE28" i="14"/>
  <c r="AE29" i="14"/>
  <c r="AE30" i="14"/>
  <c r="AE35" i="14"/>
  <c r="AJ35" i="14"/>
  <c r="AE2" i="14"/>
  <c r="U3" i="14"/>
  <c r="U4" i="14"/>
  <c r="U5" i="14"/>
  <c r="U6" i="14"/>
  <c r="U47" i="14"/>
  <c r="X47" i="14"/>
  <c r="U7" i="14"/>
  <c r="U8" i="14"/>
  <c r="U9" i="14"/>
  <c r="U10" i="14"/>
  <c r="U11" i="14"/>
  <c r="U12" i="14"/>
  <c r="U13" i="14"/>
  <c r="U14" i="14"/>
  <c r="U15" i="14"/>
  <c r="U16" i="14"/>
  <c r="U17" i="14"/>
  <c r="U18" i="14"/>
  <c r="U19" i="14"/>
  <c r="U20" i="14"/>
  <c r="U21" i="14"/>
  <c r="U22" i="14"/>
  <c r="U37" i="14"/>
  <c r="X37" i="14"/>
  <c r="U23" i="14"/>
  <c r="U24" i="14"/>
  <c r="U25" i="14"/>
  <c r="U26" i="14"/>
  <c r="U36" i="14"/>
  <c r="X36" i="14"/>
  <c r="U27" i="14"/>
  <c r="U28" i="14"/>
  <c r="U29" i="14"/>
  <c r="U30" i="14"/>
  <c r="U35" i="14"/>
  <c r="X35" i="14"/>
  <c r="U2" i="14"/>
  <c r="J3" i="14"/>
  <c r="J4" i="14"/>
  <c r="J5" i="14"/>
  <c r="J6" i="14"/>
  <c r="J47" i="14"/>
  <c r="M47" i="14"/>
  <c r="J7" i="14"/>
  <c r="J8" i="14"/>
  <c r="J9" i="14"/>
  <c r="J10" i="14"/>
  <c r="J46" i="14"/>
  <c r="J11" i="14"/>
  <c r="J12" i="14"/>
  <c r="J13" i="14"/>
  <c r="J14" i="14"/>
  <c r="J15" i="14"/>
  <c r="J16" i="14"/>
  <c r="J17" i="14"/>
  <c r="J18" i="14"/>
  <c r="J75" i="14"/>
  <c r="J19" i="14"/>
  <c r="J20" i="14"/>
  <c r="J21" i="14"/>
  <c r="J22" i="14"/>
  <c r="J37" i="14"/>
  <c r="M37" i="14"/>
  <c r="J23" i="14"/>
  <c r="J24" i="14"/>
  <c r="J25" i="14"/>
  <c r="J26" i="14"/>
  <c r="J36" i="14"/>
  <c r="M36" i="14"/>
  <c r="J27" i="14"/>
  <c r="J28" i="14"/>
  <c r="J29" i="14"/>
  <c r="J30" i="14"/>
  <c r="J2" i="14"/>
  <c r="J34" i="14"/>
  <c r="M34" i="14"/>
  <c r="J35" i="14"/>
  <c r="M35" i="14"/>
  <c r="J32" i="14"/>
  <c r="D3" i="14"/>
  <c r="E3" i="14"/>
  <c r="F3" i="14"/>
  <c r="G3" i="14"/>
  <c r="D4" i="14"/>
  <c r="E4" i="14"/>
  <c r="F4" i="14"/>
  <c r="G4" i="14"/>
  <c r="D5" i="14"/>
  <c r="E5" i="14"/>
  <c r="F5" i="14"/>
  <c r="G5" i="14"/>
  <c r="D6" i="14"/>
  <c r="E6" i="14"/>
  <c r="F6" i="14"/>
  <c r="G6" i="14"/>
  <c r="D7" i="14"/>
  <c r="E7" i="14"/>
  <c r="F7" i="14"/>
  <c r="G7" i="14"/>
  <c r="D8" i="14"/>
  <c r="E8" i="14"/>
  <c r="F8" i="14"/>
  <c r="G8" i="14"/>
  <c r="D9" i="14"/>
  <c r="E9" i="14"/>
  <c r="F9" i="14"/>
  <c r="G9" i="14"/>
  <c r="D10" i="14"/>
  <c r="E10" i="14"/>
  <c r="F10" i="14"/>
  <c r="G10" i="14"/>
  <c r="D11" i="14"/>
  <c r="E11" i="14"/>
  <c r="F11" i="14"/>
  <c r="G11" i="14"/>
  <c r="D12" i="14"/>
  <c r="E12" i="14"/>
  <c r="F12" i="14"/>
  <c r="G12" i="14"/>
  <c r="D13" i="14"/>
  <c r="E13" i="14"/>
  <c r="F13" i="14"/>
  <c r="G13" i="14"/>
  <c r="D14" i="14"/>
  <c r="E14" i="14"/>
  <c r="F14" i="14"/>
  <c r="G14" i="14"/>
  <c r="D15" i="14"/>
  <c r="E15" i="14"/>
  <c r="F15" i="14"/>
  <c r="G15" i="14"/>
  <c r="D16" i="14"/>
  <c r="E16" i="14"/>
  <c r="F16" i="14"/>
  <c r="G16" i="14"/>
  <c r="D17" i="14"/>
  <c r="E17" i="14"/>
  <c r="F17" i="14"/>
  <c r="G17" i="14"/>
  <c r="D18" i="14"/>
  <c r="E18" i="14"/>
  <c r="F18" i="14"/>
  <c r="G18" i="14"/>
  <c r="D19" i="14"/>
  <c r="D42" i="14"/>
  <c r="E19" i="14"/>
  <c r="F19" i="14"/>
  <c r="G19" i="14"/>
  <c r="D20" i="14"/>
  <c r="E20" i="14"/>
  <c r="F20" i="14"/>
  <c r="G20" i="14"/>
  <c r="D21" i="14"/>
  <c r="E21" i="14"/>
  <c r="F21" i="14"/>
  <c r="G21" i="14"/>
  <c r="D22" i="14"/>
  <c r="E22" i="14"/>
  <c r="F22" i="14"/>
  <c r="G22" i="14"/>
  <c r="D23" i="14"/>
  <c r="E23" i="14"/>
  <c r="F23" i="14"/>
  <c r="G23" i="14"/>
  <c r="D24" i="14"/>
  <c r="E24" i="14"/>
  <c r="F24" i="14"/>
  <c r="G24" i="14"/>
  <c r="D25" i="14"/>
  <c r="E25" i="14"/>
  <c r="F25" i="14"/>
  <c r="G25" i="14"/>
  <c r="D26" i="14"/>
  <c r="E26" i="14"/>
  <c r="F26" i="14"/>
  <c r="G26" i="14"/>
  <c r="D27" i="14"/>
  <c r="E27" i="14"/>
  <c r="F27" i="14"/>
  <c r="G27" i="14"/>
  <c r="D28" i="14"/>
  <c r="E28" i="14"/>
  <c r="F28" i="14"/>
  <c r="G28" i="14"/>
  <c r="D29" i="14"/>
  <c r="E29" i="14"/>
  <c r="F29" i="14"/>
  <c r="G29" i="14"/>
  <c r="D30" i="14"/>
  <c r="E30" i="14"/>
  <c r="F30" i="14"/>
  <c r="G30" i="14"/>
  <c r="Q3" i="14"/>
  <c r="Q32" i="14"/>
  <c r="Q13" i="14"/>
  <c r="Q33" i="14"/>
  <c r="Q14" i="14"/>
  <c r="Q34" i="14"/>
  <c r="Q30" i="14"/>
  <c r="Q35" i="14"/>
  <c r="Q26" i="14"/>
  <c r="Q36" i="14"/>
  <c r="Q22" i="14"/>
  <c r="Q37" i="14"/>
  <c r="Q2" i="14"/>
  <c r="Q38" i="14"/>
  <c r="Q11" i="14"/>
  <c r="Q39" i="14"/>
  <c r="Q4" i="14"/>
  <c r="Q40" i="14"/>
  <c r="Q8" i="14"/>
  <c r="Q41" i="14"/>
  <c r="Q19" i="14"/>
  <c r="Q42" i="14"/>
  <c r="Q28" i="14"/>
  <c r="Q43" i="14"/>
  <c r="Q31" i="14"/>
  <c r="Q25" i="14"/>
  <c r="Q64" i="14"/>
  <c r="Q17" i="14"/>
  <c r="Q66" i="14"/>
  <c r="Q9" i="14"/>
  <c r="Q68" i="14"/>
  <c r="Q24" i="14"/>
  <c r="Q69" i="14"/>
  <c r="Q20" i="14"/>
  <c r="Q70" i="14"/>
  <c r="Q29" i="14"/>
  <c r="Q71" i="14"/>
  <c r="Q16" i="14"/>
  <c r="Q72" i="14"/>
  <c r="Q7" i="14"/>
  <c r="Q73" i="14"/>
  <c r="Q12" i="14"/>
  <c r="Q74" i="14"/>
  <c r="Q18" i="14"/>
  <c r="Q75" i="14"/>
  <c r="Q27" i="14"/>
  <c r="Q76" i="14"/>
  <c r="Q63" i="14"/>
  <c r="Q23" i="14"/>
  <c r="Q49" i="14"/>
  <c r="Q50" i="14"/>
  <c r="Q52" i="14"/>
  <c r="Q54" i="14"/>
  <c r="Q55" i="14"/>
  <c r="Q56" i="14"/>
  <c r="Q57" i="14"/>
  <c r="Q58" i="14"/>
  <c r="Q59" i="14"/>
  <c r="Q60" i="14"/>
  <c r="Q61" i="14"/>
  <c r="Q62" i="14"/>
  <c r="Q48" i="14"/>
  <c r="F44" i="14"/>
  <c r="N6" i="30"/>
  <c r="F15" i="13"/>
  <c r="F44" i="13"/>
  <c r="AS30" i="14"/>
  <c r="AP30" i="14"/>
  <c r="AS29" i="14"/>
  <c r="AP29" i="14"/>
  <c r="AS28" i="14"/>
  <c r="AS43" i="14"/>
  <c r="AP28" i="14"/>
  <c r="AS27" i="14"/>
  <c r="AP27" i="14"/>
  <c r="AS26" i="14"/>
  <c r="AS36" i="14"/>
  <c r="AU36" i="14"/>
  <c r="AP26" i="14"/>
  <c r="AS25" i="14"/>
  <c r="AP25" i="14"/>
  <c r="AS24" i="14"/>
  <c r="AS55" i="14"/>
  <c r="AP24" i="14"/>
  <c r="AS23" i="14"/>
  <c r="AP23" i="14"/>
  <c r="AP49" i="14"/>
  <c r="AS22" i="14"/>
  <c r="AP22" i="14"/>
  <c r="AS21" i="14"/>
  <c r="AP21" i="14"/>
  <c r="AS20" i="14"/>
  <c r="AS56" i="14"/>
  <c r="AP20" i="14"/>
  <c r="AS19" i="14"/>
  <c r="AP19" i="14"/>
  <c r="AS18" i="14"/>
  <c r="AS75" i="14"/>
  <c r="AP18" i="14"/>
  <c r="AS17" i="14"/>
  <c r="AP17" i="14"/>
  <c r="AS16" i="14"/>
  <c r="AS58" i="14"/>
  <c r="AP16" i="14"/>
  <c r="AS15" i="14"/>
  <c r="AP15" i="14"/>
  <c r="AS14" i="14"/>
  <c r="AS34" i="14"/>
  <c r="AU34" i="14"/>
  <c r="AP14" i="14"/>
  <c r="AS13" i="14"/>
  <c r="AP13" i="14"/>
  <c r="AP33" i="14"/>
  <c r="AS12" i="14"/>
  <c r="AS74" i="14"/>
  <c r="AP12" i="14"/>
  <c r="AS11" i="14"/>
  <c r="AP11" i="14"/>
  <c r="AP10" i="14"/>
  <c r="AS9" i="14"/>
  <c r="AP9" i="14"/>
  <c r="AS8" i="14"/>
  <c r="AS41" i="14"/>
  <c r="AU41" i="14"/>
  <c r="AP8" i="14"/>
  <c r="AS7" i="14"/>
  <c r="AP7" i="14"/>
  <c r="AU47" i="14"/>
  <c r="AP6" i="14"/>
  <c r="AS5" i="14"/>
  <c r="AP5" i="14"/>
  <c r="AS4" i="14"/>
  <c r="AS40" i="14"/>
  <c r="AU40" i="14"/>
  <c r="AP4" i="14"/>
  <c r="AS3" i="14"/>
  <c r="AP3" i="14"/>
  <c r="AS2" i="14"/>
  <c r="AS38" i="14"/>
  <c r="AU38" i="14"/>
  <c r="AP2" i="14"/>
  <c r="AO30" i="14"/>
  <c r="P30" i="14"/>
  <c r="O30" i="14"/>
  <c r="E35" i="14"/>
  <c r="AO29" i="14"/>
  <c r="P29" i="14"/>
  <c r="O29" i="14"/>
  <c r="AO28" i="14"/>
  <c r="AQ28" i="14"/>
  <c r="P28" i="14"/>
  <c r="O28" i="14"/>
  <c r="R28" i="14"/>
  <c r="AO27" i="14"/>
  <c r="P27" i="14"/>
  <c r="O27" i="14"/>
  <c r="AO26" i="14"/>
  <c r="AC36" i="14"/>
  <c r="P26" i="14"/>
  <c r="O26" i="14"/>
  <c r="O36" i="14"/>
  <c r="AO25" i="14"/>
  <c r="P25" i="14"/>
  <c r="O25" i="14"/>
  <c r="F64" i="14"/>
  <c r="AO24" i="14"/>
  <c r="AQ24" i="14"/>
  <c r="P24" i="14"/>
  <c r="O24" i="14"/>
  <c r="R24" i="14"/>
  <c r="AO23" i="14"/>
  <c r="P23" i="14"/>
  <c r="P49" i="14"/>
  <c r="O23" i="14"/>
  <c r="AO22" i="14"/>
  <c r="P22" i="14"/>
  <c r="O22" i="14"/>
  <c r="E37" i="14"/>
  <c r="AO21" i="14"/>
  <c r="Q21" i="14"/>
  <c r="P21" i="14"/>
  <c r="O21" i="14"/>
  <c r="AO20" i="14"/>
  <c r="AQ20" i="14"/>
  <c r="P20" i="14"/>
  <c r="O20" i="14"/>
  <c r="R20" i="14"/>
  <c r="AO19" i="14"/>
  <c r="AB42" i="14"/>
  <c r="P19" i="14"/>
  <c r="P42" i="14"/>
  <c r="O19" i="14"/>
  <c r="AO18" i="14"/>
  <c r="P18" i="14"/>
  <c r="O18" i="14"/>
  <c r="AO17" i="14"/>
  <c r="P17" i="14"/>
  <c r="O17" i="14"/>
  <c r="R17" i="14"/>
  <c r="AO16" i="14"/>
  <c r="AQ16" i="14"/>
  <c r="P16" i="14"/>
  <c r="O16" i="14"/>
  <c r="R16" i="14"/>
  <c r="AO15" i="14"/>
  <c r="AB44" i="14"/>
  <c r="Q15" i="14"/>
  <c r="P15" i="14"/>
  <c r="P44" i="14"/>
  <c r="O15" i="14"/>
  <c r="AO14" i="14"/>
  <c r="AC34" i="14"/>
  <c r="P14" i="14"/>
  <c r="O14" i="14"/>
  <c r="E34" i="14"/>
  <c r="AO13" i="14"/>
  <c r="AD33" i="14"/>
  <c r="Z33" i="14"/>
  <c r="P13" i="14"/>
  <c r="O13" i="14"/>
  <c r="AO12" i="14"/>
  <c r="AQ12" i="14"/>
  <c r="P12" i="14"/>
  <c r="O12" i="14"/>
  <c r="R12" i="14"/>
  <c r="AO11" i="14"/>
  <c r="AB39" i="14"/>
  <c r="P11" i="14"/>
  <c r="P39" i="14"/>
  <c r="O11" i="14"/>
  <c r="D39" i="14"/>
  <c r="AO10" i="14"/>
  <c r="Q10" i="14"/>
  <c r="P10" i="14"/>
  <c r="O10" i="14"/>
  <c r="E46" i="14"/>
  <c r="AO9" i="14"/>
  <c r="P9" i="14"/>
  <c r="O9" i="14"/>
  <c r="AO8" i="14"/>
  <c r="AO41" i="14"/>
  <c r="P8" i="14"/>
  <c r="O8" i="14"/>
  <c r="O41" i="14"/>
  <c r="AO7" i="14"/>
  <c r="P7" i="14"/>
  <c r="O7" i="14"/>
  <c r="AO6" i="14"/>
  <c r="AC47" i="14"/>
  <c r="Q6" i="14"/>
  <c r="Q47" i="14"/>
  <c r="P6" i="14"/>
  <c r="O6" i="14"/>
  <c r="AO5" i="14"/>
  <c r="Q5" i="14"/>
  <c r="P5" i="14"/>
  <c r="O5" i="14"/>
  <c r="AO4" i="14"/>
  <c r="P4" i="14"/>
  <c r="O4" i="14"/>
  <c r="O40" i="14"/>
  <c r="AO3" i="14"/>
  <c r="AQ3" i="14"/>
  <c r="AB32" i="14"/>
  <c r="P3" i="14"/>
  <c r="P32" i="14"/>
  <c r="O3" i="14"/>
  <c r="D32" i="14"/>
  <c r="AO2" i="14"/>
  <c r="AC38" i="14"/>
  <c r="P2" i="14"/>
  <c r="O2" i="14"/>
  <c r="F2" i="14"/>
  <c r="E2" i="14"/>
  <c r="D2" i="14"/>
  <c r="AD49" i="14"/>
  <c r="AD42" i="14"/>
  <c r="AC49" i="14"/>
  <c r="AC42" i="14"/>
  <c r="AC44" i="14"/>
  <c r="AC33" i="14"/>
  <c r="AC39" i="14"/>
  <c r="AG71" i="14"/>
  <c r="AG76" i="14"/>
  <c r="AG64" i="14"/>
  <c r="AB49" i="14"/>
  <c r="AG65" i="14"/>
  <c r="AG66" i="14"/>
  <c r="AB66" i="14"/>
  <c r="AG44" i="14"/>
  <c r="AL44" i="14"/>
  <c r="AG33" i="14"/>
  <c r="AL33" i="14"/>
  <c r="AB33" i="14"/>
  <c r="AG39" i="14"/>
  <c r="AL39" i="14"/>
  <c r="AG59" i="14"/>
  <c r="AA71" i="14"/>
  <c r="AA44" i="14"/>
  <c r="AA32" i="14"/>
  <c r="AE57" i="14"/>
  <c r="J57" i="14"/>
  <c r="AE76" i="14"/>
  <c r="J76" i="14"/>
  <c r="AE64" i="14"/>
  <c r="J64" i="14"/>
  <c r="U55" i="14"/>
  <c r="F49" i="14"/>
  <c r="U70" i="14"/>
  <c r="Z42" i="14"/>
  <c r="U75" i="14"/>
  <c r="AE66" i="14"/>
  <c r="U58" i="14"/>
  <c r="AE44" i="14"/>
  <c r="AJ44" i="14"/>
  <c r="Z44" i="14"/>
  <c r="AE33" i="14"/>
  <c r="AJ33" i="14"/>
  <c r="J33" i="14"/>
  <c r="M33" i="14"/>
  <c r="F33" i="14"/>
  <c r="AE39" i="14"/>
  <c r="AJ39" i="14"/>
  <c r="Z39" i="14"/>
  <c r="J39" i="14"/>
  <c r="F39" i="14"/>
  <c r="U46" i="14"/>
  <c r="Q46" i="14"/>
  <c r="AE54" i="14"/>
  <c r="AE73" i="14"/>
  <c r="J73" i="14"/>
  <c r="AE67" i="14"/>
  <c r="AJ67" i="14"/>
  <c r="J67" i="14"/>
  <c r="AE32" i="14"/>
  <c r="Z32" i="14"/>
  <c r="F32" i="14"/>
  <c r="U38" i="14"/>
  <c r="X38" i="14"/>
  <c r="AS76" i="14"/>
  <c r="AR27" i="14"/>
  <c r="AR76" i="14"/>
  <c r="AH76" i="14"/>
  <c r="U76" i="14"/>
  <c r="T27" i="14"/>
  <c r="T76" i="14"/>
  <c r="S27" i="14"/>
  <c r="S76" i="14"/>
  <c r="I27" i="14"/>
  <c r="I76" i="14"/>
  <c r="AR18" i="14"/>
  <c r="AR75" i="14"/>
  <c r="T18" i="14"/>
  <c r="T75" i="14"/>
  <c r="I18" i="14"/>
  <c r="I75" i="14"/>
  <c r="AR12" i="14"/>
  <c r="AR74" i="14"/>
  <c r="T12" i="14"/>
  <c r="T74" i="14"/>
  <c r="I12" i="14"/>
  <c r="I74" i="14"/>
  <c r="AS73" i="14"/>
  <c r="AR7" i="14"/>
  <c r="AR73" i="14"/>
  <c r="AG73" i="14"/>
  <c r="T7" i="14"/>
  <c r="T73" i="14"/>
  <c r="I7" i="14"/>
  <c r="I73" i="14"/>
  <c r="AR16" i="14"/>
  <c r="AR72" i="14"/>
  <c r="AH72" i="14"/>
  <c r="U72" i="14"/>
  <c r="T16" i="14"/>
  <c r="T72" i="14"/>
  <c r="I16" i="14"/>
  <c r="I72" i="14"/>
  <c r="AS71" i="14"/>
  <c r="AR29" i="14"/>
  <c r="AR71" i="14"/>
  <c r="AI71" i="14"/>
  <c r="AE71" i="14"/>
  <c r="T29" i="14"/>
  <c r="T71" i="14"/>
  <c r="J71" i="14"/>
  <c r="I29" i="14"/>
  <c r="I71" i="14"/>
  <c r="AS70" i="14"/>
  <c r="AR20" i="14"/>
  <c r="AR70" i="14"/>
  <c r="T20" i="14"/>
  <c r="T70" i="14"/>
  <c r="I20" i="14"/>
  <c r="I70" i="14"/>
  <c r="H20" i="14"/>
  <c r="H70" i="14"/>
  <c r="AR24" i="14"/>
  <c r="AR69" i="14"/>
  <c r="AG69" i="14"/>
  <c r="T24" i="14"/>
  <c r="T69" i="14"/>
  <c r="I24" i="14"/>
  <c r="I69" i="14"/>
  <c r="AS68" i="14"/>
  <c r="AR9" i="14"/>
  <c r="AR68" i="14"/>
  <c r="AH68" i="14"/>
  <c r="U68" i="14"/>
  <c r="T9" i="14"/>
  <c r="T68" i="14"/>
  <c r="S9" i="14"/>
  <c r="S68" i="14"/>
  <c r="I9" i="14"/>
  <c r="I68" i="14"/>
  <c r="AS67" i="14"/>
  <c r="AR5" i="14"/>
  <c r="AR67" i="14"/>
  <c r="T5" i="14"/>
  <c r="T67" i="14"/>
  <c r="I5" i="14"/>
  <c r="I67" i="14"/>
  <c r="AS66" i="14"/>
  <c r="AR17" i="14"/>
  <c r="AR66" i="14"/>
  <c r="T17" i="14"/>
  <c r="T66" i="14"/>
  <c r="I17" i="14"/>
  <c r="I66" i="14"/>
  <c r="AS65" i="14"/>
  <c r="AR21" i="14"/>
  <c r="AR65" i="14"/>
  <c r="T21" i="14"/>
  <c r="T65" i="14"/>
  <c r="I21" i="14"/>
  <c r="I65" i="14"/>
  <c r="H21" i="14"/>
  <c r="H65" i="14"/>
  <c r="AS64" i="14"/>
  <c r="AR25" i="14"/>
  <c r="AR64" i="14"/>
  <c r="AH64" i="14"/>
  <c r="U64" i="14"/>
  <c r="T25" i="14"/>
  <c r="T64" i="14"/>
  <c r="I25" i="14"/>
  <c r="I64" i="14"/>
  <c r="H25" i="14"/>
  <c r="H64" i="14"/>
  <c r="AS62" i="14"/>
  <c r="AR62" i="14"/>
  <c r="AI62" i="14"/>
  <c r="AE62" i="14"/>
  <c r="T62" i="14"/>
  <c r="J62" i="14"/>
  <c r="I62" i="14"/>
  <c r="AR61" i="14"/>
  <c r="T61" i="14"/>
  <c r="I61" i="14"/>
  <c r="AR60" i="14"/>
  <c r="AG60" i="14"/>
  <c r="T60" i="14"/>
  <c r="I60" i="14"/>
  <c r="AS59" i="14"/>
  <c r="AR59" i="14"/>
  <c r="AH59" i="14"/>
  <c r="U59" i="14"/>
  <c r="T59" i="14"/>
  <c r="I59" i="14"/>
  <c r="AR58" i="14"/>
  <c r="AE58" i="14"/>
  <c r="T58" i="14"/>
  <c r="J58" i="14"/>
  <c r="I58" i="14"/>
  <c r="AS57" i="14"/>
  <c r="AR57" i="14"/>
  <c r="AF57" i="14"/>
  <c r="T57" i="14"/>
  <c r="I57" i="14"/>
  <c r="H29" i="14"/>
  <c r="H57" i="14"/>
  <c r="AR56" i="14"/>
  <c r="AG56" i="14"/>
  <c r="T56" i="14"/>
  <c r="I56" i="14"/>
  <c r="AR55" i="14"/>
  <c r="AH55" i="14"/>
  <c r="T55" i="14"/>
  <c r="I55" i="14"/>
  <c r="H24" i="14"/>
  <c r="H55" i="14"/>
  <c r="AS54" i="14"/>
  <c r="AR54" i="14"/>
  <c r="T54" i="14"/>
  <c r="J54" i="14"/>
  <c r="I54" i="14"/>
  <c r="AS53" i="14"/>
  <c r="AR53" i="14"/>
  <c r="T53" i="14"/>
  <c r="I53" i="14"/>
  <c r="AS52" i="14"/>
  <c r="AR52" i="14"/>
  <c r="AG52" i="14"/>
  <c r="T52" i="14"/>
  <c r="I52" i="14"/>
  <c r="H17" i="14"/>
  <c r="H52" i="14"/>
  <c r="AS51" i="14"/>
  <c r="AR51" i="14"/>
  <c r="AH51" i="14"/>
  <c r="U51" i="14"/>
  <c r="T51" i="14"/>
  <c r="I51" i="14"/>
  <c r="H51" i="14"/>
  <c r="AS50" i="14"/>
  <c r="AR50" i="14"/>
  <c r="AI50" i="14"/>
  <c r="AE50" i="14"/>
  <c r="T50" i="14"/>
  <c r="I50" i="14"/>
  <c r="H50" i="14"/>
  <c r="AS49" i="14"/>
  <c r="AR23" i="14"/>
  <c r="AR49" i="14"/>
  <c r="T23" i="14"/>
  <c r="T49" i="14"/>
  <c r="S23" i="14"/>
  <c r="S49" i="14"/>
  <c r="I23" i="14"/>
  <c r="I49" i="14"/>
  <c r="AG47" i="14"/>
  <c r="AL47" i="14"/>
  <c r="T6" i="14"/>
  <c r="T47" i="14"/>
  <c r="I6" i="14"/>
  <c r="I47" i="14"/>
  <c r="H6" i="14"/>
  <c r="H47" i="14"/>
  <c r="AH46" i="14"/>
  <c r="AM46" i="14"/>
  <c r="T10" i="14"/>
  <c r="T46" i="14"/>
  <c r="I10" i="14"/>
  <c r="I46" i="14"/>
  <c r="AS44" i="14"/>
  <c r="AR15" i="14"/>
  <c r="AR44" i="14"/>
  <c r="T15" i="14"/>
  <c r="T44" i="14"/>
  <c r="S15" i="14"/>
  <c r="S44" i="14"/>
  <c r="J44" i="14"/>
  <c r="M44" i="14"/>
  <c r="I15" i="14"/>
  <c r="I44" i="14"/>
  <c r="AR28" i="14"/>
  <c r="AR43" i="14"/>
  <c r="T28" i="14"/>
  <c r="T43" i="14"/>
  <c r="I28" i="14"/>
  <c r="I43" i="14"/>
  <c r="AS42" i="14"/>
  <c r="AR19" i="14"/>
  <c r="AR42" i="14"/>
  <c r="AG42" i="14"/>
  <c r="AL42" i="14"/>
  <c r="T19" i="14"/>
  <c r="T42" i="14"/>
  <c r="S19" i="14"/>
  <c r="S42" i="14"/>
  <c r="I19" i="14"/>
  <c r="I42" i="14"/>
  <c r="AR8" i="14"/>
  <c r="AR41" i="14"/>
  <c r="AH41" i="14"/>
  <c r="AM41" i="14"/>
  <c r="U41" i="14"/>
  <c r="T8" i="14"/>
  <c r="T41" i="14"/>
  <c r="S8" i="14"/>
  <c r="S41" i="14"/>
  <c r="I8" i="14"/>
  <c r="I41" i="14"/>
  <c r="AR4" i="14"/>
  <c r="AR40" i="14"/>
  <c r="AE40" i="14"/>
  <c r="T4" i="14"/>
  <c r="T40" i="14"/>
  <c r="J40" i="14"/>
  <c r="I4" i="14"/>
  <c r="I40" i="14"/>
  <c r="AS39" i="14"/>
  <c r="AR11" i="14"/>
  <c r="AR39" i="14"/>
  <c r="T11" i="14"/>
  <c r="T39" i="14"/>
  <c r="I11" i="14"/>
  <c r="I39" i="14"/>
  <c r="AR2" i="14"/>
  <c r="AR38" i="14"/>
  <c r="AG38" i="14"/>
  <c r="T2" i="14"/>
  <c r="T38" i="14"/>
  <c r="S2" i="14"/>
  <c r="S38" i="14"/>
  <c r="I2" i="14"/>
  <c r="I38" i="14"/>
  <c r="AS37" i="14"/>
  <c r="AU37" i="14"/>
  <c r="AR22" i="14"/>
  <c r="AR37" i="14"/>
  <c r="AH37" i="14"/>
  <c r="T22" i="14"/>
  <c r="T37" i="14"/>
  <c r="I22" i="14"/>
  <c r="I37" i="14"/>
  <c r="L37" i="14"/>
  <c r="AR26" i="14"/>
  <c r="AR36" i="14"/>
  <c r="T26" i="14"/>
  <c r="T36" i="14"/>
  <c r="I26" i="14"/>
  <c r="I36" i="14"/>
  <c r="AS35" i="14"/>
  <c r="AU35" i="14"/>
  <c r="AR30" i="14"/>
  <c r="AR35" i="14"/>
  <c r="T30" i="14"/>
  <c r="T35" i="14"/>
  <c r="S30" i="14"/>
  <c r="S35" i="14"/>
  <c r="I30" i="14"/>
  <c r="I35" i="14"/>
  <c r="AR14" i="14"/>
  <c r="AR34" i="14"/>
  <c r="AG34" i="14"/>
  <c r="AL34" i="14"/>
  <c r="T14" i="14"/>
  <c r="T34" i="14"/>
  <c r="I14" i="14"/>
  <c r="I34" i="14"/>
  <c r="AS33" i="14"/>
  <c r="AR13" i="14"/>
  <c r="AR33" i="14"/>
  <c r="AH33" i="14"/>
  <c r="AM33" i="14"/>
  <c r="U33" i="14"/>
  <c r="T13" i="14"/>
  <c r="T33" i="14"/>
  <c r="I13" i="14"/>
  <c r="I33" i="14"/>
  <c r="H13" i="14"/>
  <c r="H33" i="14"/>
  <c r="AS32" i="14"/>
  <c r="AR3" i="14"/>
  <c r="AR32" i="14"/>
  <c r="T3" i="14"/>
  <c r="T32" i="14"/>
  <c r="I3" i="14"/>
  <c r="I32" i="14"/>
  <c r="H3" i="14"/>
  <c r="H32" i="14"/>
  <c r="K32" i="14"/>
  <c r="AH35" i="14"/>
  <c r="AG35" i="14"/>
  <c r="AL35" i="14"/>
  <c r="AF35" i="14"/>
  <c r="AK35" i="14"/>
  <c r="AH71" i="14"/>
  <c r="AF71" i="14"/>
  <c r="U71" i="14"/>
  <c r="AH43" i="14"/>
  <c r="AG43" i="14"/>
  <c r="AL43" i="14"/>
  <c r="AF43" i="14"/>
  <c r="AK43" i="14"/>
  <c r="AE43" i="14"/>
  <c r="AJ43" i="14"/>
  <c r="U43" i="14"/>
  <c r="X43" i="14"/>
  <c r="J43" i="14"/>
  <c r="M43" i="14"/>
  <c r="AH62" i="14"/>
  <c r="U62" i="14"/>
  <c r="AH36" i="14"/>
  <c r="AG36" i="14"/>
  <c r="AL36" i="14"/>
  <c r="AF36" i="14"/>
  <c r="AK36" i="14"/>
  <c r="AH50" i="14"/>
  <c r="U50" i="14"/>
  <c r="AH69" i="14"/>
  <c r="AG55" i="14"/>
  <c r="AE69" i="14"/>
  <c r="U69" i="14"/>
  <c r="X69" i="14"/>
  <c r="J69" i="14"/>
  <c r="AI49" i="14"/>
  <c r="AH49" i="14"/>
  <c r="AG49" i="14"/>
  <c r="AF49" i="14"/>
  <c r="AE49" i="14"/>
  <c r="U49" i="14"/>
  <c r="J49" i="14"/>
  <c r="M49" i="14"/>
  <c r="AG37" i="14"/>
  <c r="AL37" i="14"/>
  <c r="AF37" i="14"/>
  <c r="AK37" i="14"/>
  <c r="AE37" i="14"/>
  <c r="AJ37" i="14"/>
  <c r="AB37" i="14"/>
  <c r="F37" i="14"/>
  <c r="AH65" i="14"/>
  <c r="AG51" i="14"/>
  <c r="AE65" i="14"/>
  <c r="U65" i="14"/>
  <c r="J65" i="14"/>
  <c r="AH70" i="14"/>
  <c r="AG70" i="14"/>
  <c r="AF56" i="14"/>
  <c r="AE70" i="14"/>
  <c r="J70" i="14"/>
  <c r="AO42" i="14"/>
  <c r="AH42" i="14"/>
  <c r="AM42" i="14"/>
  <c r="AF42" i="14"/>
  <c r="AK42" i="14"/>
  <c r="AE42" i="14"/>
  <c r="U42" i="14"/>
  <c r="X42" i="14"/>
  <c r="J42" i="14"/>
  <c r="F42" i="14"/>
  <c r="AH75" i="14"/>
  <c r="AG75" i="14"/>
  <c r="AF75" i="14"/>
  <c r="AH66" i="14"/>
  <c r="AF52" i="14"/>
  <c r="AK52" i="14"/>
  <c r="U66" i="14"/>
  <c r="J66" i="14"/>
  <c r="AH58" i="14"/>
  <c r="AG72" i="14"/>
  <c r="AE72" i="14"/>
  <c r="J72" i="14"/>
  <c r="AH44" i="14"/>
  <c r="AM44" i="14"/>
  <c r="AF44" i="14"/>
  <c r="AK44" i="14"/>
  <c r="U44" i="14"/>
  <c r="X44" i="14"/>
  <c r="Q44" i="14"/>
  <c r="AQ14" i="14"/>
  <c r="AI34" i="14"/>
  <c r="AH34" i="14"/>
  <c r="AM34" i="14"/>
  <c r="AF34" i="14"/>
  <c r="AB34" i="14"/>
  <c r="U34" i="14"/>
  <c r="X34" i="14"/>
  <c r="F34" i="14"/>
  <c r="AQ13" i="14"/>
  <c r="AF33" i="14"/>
  <c r="AK33" i="14"/>
  <c r="AH74" i="14"/>
  <c r="AG74" i="14"/>
  <c r="AF60" i="14"/>
  <c r="AE74" i="14"/>
  <c r="U74" i="14"/>
  <c r="J74" i="14"/>
  <c r="AO39" i="14"/>
  <c r="AH39" i="14"/>
  <c r="AF39" i="14"/>
  <c r="AK39" i="14"/>
  <c r="U39" i="14"/>
  <c r="AG46" i="14"/>
  <c r="AF46" i="14"/>
  <c r="AB46" i="14"/>
  <c r="AH54" i="14"/>
  <c r="AG68" i="14"/>
  <c r="AE68" i="14"/>
  <c r="U54" i="14"/>
  <c r="J68" i="14"/>
  <c r="AI41" i="14"/>
  <c r="AN41" i="14"/>
  <c r="AG41" i="14"/>
  <c r="AF41" i="14"/>
  <c r="AK41" i="14"/>
  <c r="AE41" i="14"/>
  <c r="AJ41" i="14"/>
  <c r="AB41" i="14"/>
  <c r="J41" i="14"/>
  <c r="M41" i="14"/>
  <c r="AH73" i="14"/>
  <c r="U73" i="14"/>
  <c r="AH47" i="14"/>
  <c r="AM47" i="14"/>
  <c r="AF47" i="14"/>
  <c r="AK47" i="14"/>
  <c r="F47" i="14"/>
  <c r="AH67" i="14"/>
  <c r="AG67" i="14"/>
  <c r="AF67" i="14"/>
  <c r="U67" i="14"/>
  <c r="AQ4" i="14"/>
  <c r="AH40" i="14"/>
  <c r="AG40" i="14"/>
  <c r="AF40" i="14"/>
  <c r="AK40" i="14"/>
  <c r="AB40" i="14"/>
  <c r="U40" i="14"/>
  <c r="X40" i="14"/>
  <c r="AI32" i="14"/>
  <c r="AH32" i="14"/>
  <c r="AG32" i="14"/>
  <c r="AF32" i="14"/>
  <c r="U32" i="14"/>
  <c r="R3" i="14"/>
  <c r="AI38" i="14"/>
  <c r="AH38" i="14"/>
  <c r="AM38" i="14"/>
  <c r="AF38" i="14"/>
  <c r="AK38" i="14"/>
  <c r="AE38" i="14"/>
  <c r="AJ38" i="14"/>
  <c r="AB38" i="14"/>
  <c r="J38" i="14"/>
  <c r="M38" i="14"/>
  <c r="F38" i="14"/>
  <c r="E38" i="14"/>
  <c r="E36" i="14"/>
  <c r="E49" i="14"/>
  <c r="E42" i="14"/>
  <c r="E44" i="14"/>
  <c r="E39" i="14"/>
  <c r="E47" i="14"/>
  <c r="E40" i="14"/>
  <c r="E32" i="14"/>
  <c r="AO44" i="14"/>
  <c r="P41" i="14"/>
  <c r="P40" i="14"/>
  <c r="W35" i="14"/>
  <c r="L35" i="14"/>
  <c r="W43" i="14"/>
  <c r="L43" i="14"/>
  <c r="W36" i="14"/>
  <c r="L36" i="14"/>
  <c r="Z49" i="14"/>
  <c r="W37" i="14"/>
  <c r="R21" i="14"/>
  <c r="AJ42" i="14"/>
  <c r="AU44" i="14"/>
  <c r="AD44" i="14"/>
  <c r="AK34" i="14"/>
  <c r="W34" i="14"/>
  <c r="L34" i="14"/>
  <c r="AU33" i="14"/>
  <c r="AV33" i="14"/>
  <c r="P33" i="14"/>
  <c r="AU39" i="14"/>
  <c r="AM39" i="14"/>
  <c r="AD39" i="14"/>
  <c r="AP46" i="14"/>
  <c r="AP41" i="14"/>
  <c r="X41" i="14"/>
  <c r="W41" i="14"/>
  <c r="L41" i="14"/>
  <c r="AB47" i="14"/>
  <c r="W47" i="14"/>
  <c r="AP40" i="14"/>
  <c r="W40" i="14"/>
  <c r="L40" i="14"/>
  <c r="AD32" i="14"/>
  <c r="AP38" i="14"/>
  <c r="AL38" i="14"/>
  <c r="W38" i="14"/>
  <c r="H30" i="14"/>
  <c r="H35" i="14"/>
  <c r="S29" i="14"/>
  <c r="S57" i="14"/>
  <c r="H71" i="14"/>
  <c r="S28" i="14"/>
  <c r="S43" i="14"/>
  <c r="H28" i="14"/>
  <c r="H43" i="14"/>
  <c r="K43" i="14"/>
  <c r="D43" i="14"/>
  <c r="S62" i="14"/>
  <c r="H27" i="14"/>
  <c r="H76" i="14"/>
  <c r="S26" i="14"/>
  <c r="S36" i="14"/>
  <c r="V36" i="14"/>
  <c r="H26" i="14"/>
  <c r="H36" i="14"/>
  <c r="S25" i="14"/>
  <c r="S64" i="14"/>
  <c r="S24" i="14"/>
  <c r="S69" i="14"/>
  <c r="H69" i="14"/>
  <c r="H23" i="14"/>
  <c r="H49" i="14"/>
  <c r="S22" i="14"/>
  <c r="S37" i="14"/>
  <c r="H22" i="14"/>
  <c r="H37" i="14"/>
  <c r="S21" i="14"/>
  <c r="S65" i="14"/>
  <c r="S20" i="14"/>
  <c r="S70" i="14"/>
  <c r="H56" i="14"/>
  <c r="H19" i="14"/>
  <c r="H42" i="14"/>
  <c r="S18" i="14"/>
  <c r="S61" i="14"/>
  <c r="H18" i="14"/>
  <c r="H75" i="14"/>
  <c r="S17" i="14"/>
  <c r="S66" i="14"/>
  <c r="H66" i="14"/>
  <c r="S16" i="14"/>
  <c r="S58" i="14"/>
  <c r="H16" i="14"/>
  <c r="H72" i="14"/>
  <c r="H15" i="14"/>
  <c r="H44" i="14"/>
  <c r="S14" i="14"/>
  <c r="S34" i="14"/>
  <c r="V34" i="14"/>
  <c r="H14" i="14"/>
  <c r="H34" i="14"/>
  <c r="S13" i="14"/>
  <c r="S33" i="14"/>
  <c r="S12" i="14"/>
  <c r="S74" i="14"/>
  <c r="H12" i="14"/>
  <c r="H60" i="14"/>
  <c r="D74" i="14"/>
  <c r="S11" i="14"/>
  <c r="S39" i="14"/>
  <c r="H11" i="14"/>
  <c r="H39" i="14"/>
  <c r="K39" i="14"/>
  <c r="S10" i="14"/>
  <c r="S46" i="14"/>
  <c r="H10" i="14"/>
  <c r="H46" i="14"/>
  <c r="S54" i="14"/>
  <c r="H9" i="14"/>
  <c r="H68" i="14"/>
  <c r="H8" i="14"/>
  <c r="H41" i="14"/>
  <c r="D41" i="14"/>
  <c r="S7" i="14"/>
  <c r="S59" i="14"/>
  <c r="H7" i="14"/>
  <c r="H59" i="14"/>
  <c r="S6" i="14"/>
  <c r="S47" i="14"/>
  <c r="S5" i="14"/>
  <c r="S53" i="14"/>
  <c r="H5" i="14"/>
  <c r="H67" i="14"/>
  <c r="S4" i="14"/>
  <c r="S40" i="14"/>
  <c r="V40" i="14"/>
  <c r="H4" i="14"/>
  <c r="H40" i="14"/>
  <c r="D40" i="14"/>
  <c r="S3" i="14"/>
  <c r="S32" i="14"/>
  <c r="O38" i="14"/>
  <c r="H2" i="14"/>
  <c r="H38" i="14"/>
  <c r="AB35" i="14"/>
  <c r="F35" i="14"/>
  <c r="AB43" i="14"/>
  <c r="AB36" i="14"/>
  <c r="F36" i="14"/>
  <c r="O37" i="14"/>
  <c r="O34" i="14"/>
  <c r="L33" i="14"/>
  <c r="D33" i="14"/>
  <c r="L39" i="14"/>
  <c r="O46" i="14"/>
  <c r="F46" i="14"/>
  <c r="AM68" i="14"/>
  <c r="F40" i="14"/>
  <c r="O35" i="14"/>
  <c r="F43" i="14"/>
  <c r="L42" i="14"/>
  <c r="L44" i="14"/>
  <c r="O47" i="14"/>
  <c r="AM35" i="14"/>
  <c r="AM36" i="14"/>
  <c r="AM37" i="14"/>
  <c r="AU42" i="14"/>
  <c r="W44" i="14"/>
  <c r="W39" i="14"/>
  <c r="AL73" i="14"/>
  <c r="L47" i="14"/>
  <c r="AL32" i="14"/>
  <c r="L38" i="14"/>
  <c r="E55" i="14"/>
  <c r="AP43" i="14"/>
  <c r="AL40" i="14"/>
  <c r="AA38" i="14"/>
  <c r="AT35" i="14"/>
  <c r="P35" i="14"/>
  <c r="AP35" i="14"/>
  <c r="AD35" i="14"/>
  <c r="AC35" i="14"/>
  <c r="Z35" i="14"/>
  <c r="AQ29" i="14"/>
  <c r="AM43" i="14"/>
  <c r="AD43" i="14"/>
  <c r="AC43" i="14"/>
  <c r="Z43" i="14"/>
  <c r="E43" i="14"/>
  <c r="AP36" i="14"/>
  <c r="AD36" i="14"/>
  <c r="E69" i="14"/>
  <c r="AO49" i="14"/>
  <c r="AA49" i="14"/>
  <c r="AP37" i="14"/>
  <c r="AD37" i="14"/>
  <c r="AC37" i="14"/>
  <c r="AO65" i="14"/>
  <c r="AP42" i="14"/>
  <c r="W42" i="14"/>
  <c r="M42" i="14"/>
  <c r="AP44" i="14"/>
  <c r="AP34" i="14"/>
  <c r="AN34" i="14"/>
  <c r="AD34" i="14"/>
  <c r="X33" i="14"/>
  <c r="W33" i="14"/>
  <c r="O33" i="14"/>
  <c r="K33" i="14"/>
  <c r="W74" i="14"/>
  <c r="AP39" i="14"/>
  <c r="AA39" i="14"/>
  <c r="X39" i="14"/>
  <c r="AD46" i="14"/>
  <c r="AC46" i="14"/>
  <c r="AA46" i="14"/>
  <c r="AL41" i="14"/>
  <c r="AD41" i="14"/>
  <c r="AC41" i="14"/>
  <c r="Z41" i="14"/>
  <c r="AP47" i="14"/>
  <c r="AD47" i="14"/>
  <c r="AA47" i="14"/>
  <c r="O67" i="14"/>
  <c r="AM40" i="14"/>
  <c r="AJ40" i="14"/>
  <c r="AD40" i="14"/>
  <c r="AC40" i="14"/>
  <c r="AA40" i="14"/>
  <c r="Z40" i="14"/>
  <c r="M40" i="14"/>
  <c r="AC32" i="14"/>
  <c r="W32" i="14"/>
  <c r="AN38" i="14"/>
  <c r="AD38" i="14"/>
  <c r="AD31" i="14"/>
  <c r="Z38" i="14"/>
  <c r="AS27" i="13"/>
  <c r="AS76" i="13"/>
  <c r="AS18" i="13"/>
  <c r="AS75" i="13"/>
  <c r="AS12" i="13"/>
  <c r="AS74" i="13"/>
  <c r="AR12" i="13"/>
  <c r="AR74" i="13"/>
  <c r="AV74" i="13"/>
  <c r="AS7" i="13"/>
  <c r="AS73" i="13"/>
  <c r="AU73" i="13"/>
  <c r="AS16" i="13"/>
  <c r="AS72" i="13"/>
  <c r="AS29" i="13"/>
  <c r="AS71" i="13"/>
  <c r="AS20" i="13"/>
  <c r="AS70" i="13"/>
  <c r="AU70" i="13"/>
  <c r="AS24" i="13"/>
  <c r="AS69" i="13"/>
  <c r="AU69" i="13"/>
  <c r="AS9" i="13"/>
  <c r="AS68" i="13"/>
  <c r="AS5" i="13"/>
  <c r="AS67" i="13"/>
  <c r="AS17" i="13"/>
  <c r="AS66" i="13"/>
  <c r="AR17" i="13"/>
  <c r="AR66" i="13"/>
  <c r="AV66" i="13"/>
  <c r="AS21" i="13"/>
  <c r="AS65" i="13"/>
  <c r="AU65" i="13"/>
  <c r="AS25" i="13"/>
  <c r="AS64" i="13"/>
  <c r="AS62" i="13"/>
  <c r="AS61" i="13"/>
  <c r="AS60" i="13"/>
  <c r="AU60" i="13"/>
  <c r="AS59" i="13"/>
  <c r="AS58" i="13"/>
  <c r="AS57" i="13"/>
  <c r="AU57" i="13"/>
  <c r="AS56" i="13"/>
  <c r="AR20" i="13"/>
  <c r="AR56" i="13"/>
  <c r="AV56" i="13"/>
  <c r="AS55" i="13"/>
  <c r="AS54" i="13"/>
  <c r="AS53" i="13"/>
  <c r="AS52" i="13"/>
  <c r="AU52" i="13"/>
  <c r="AS51" i="13"/>
  <c r="AS50" i="13"/>
  <c r="AR27" i="13"/>
  <c r="AR76" i="13"/>
  <c r="AI27" i="13"/>
  <c r="AI76" i="13"/>
  <c r="AH27" i="13"/>
  <c r="AH76" i="13"/>
  <c r="AG27" i="13"/>
  <c r="AG76" i="13"/>
  <c r="AF27" i="13"/>
  <c r="AF76" i="13"/>
  <c r="AE27" i="13"/>
  <c r="AE76" i="13"/>
  <c r="AR18" i="13"/>
  <c r="AR75" i="13"/>
  <c r="AI18" i="13"/>
  <c r="AI75" i="13"/>
  <c r="AH18" i="13"/>
  <c r="AH75" i="13"/>
  <c r="AG18" i="13"/>
  <c r="AG75" i="13"/>
  <c r="AF18" i="13"/>
  <c r="AF75" i="13"/>
  <c r="AE18" i="13"/>
  <c r="AE75" i="13"/>
  <c r="AI12" i="13"/>
  <c r="AI74" i="13"/>
  <c r="AH12" i="13"/>
  <c r="AH74" i="13"/>
  <c r="AG12" i="13"/>
  <c r="AG74" i="13"/>
  <c r="AF12" i="13"/>
  <c r="AF74" i="13"/>
  <c r="AE12" i="13"/>
  <c r="AE74" i="13"/>
  <c r="AR7" i="13"/>
  <c r="AR73" i="13"/>
  <c r="AI7" i="13"/>
  <c r="AI73" i="13"/>
  <c r="AH7" i="13"/>
  <c r="AH73" i="13"/>
  <c r="AG7" i="13"/>
  <c r="AG73" i="13"/>
  <c r="AF7" i="13"/>
  <c r="AF73" i="13"/>
  <c r="AE7" i="13"/>
  <c r="AE73" i="13"/>
  <c r="AR16" i="13"/>
  <c r="AR72" i="13"/>
  <c r="AI16" i="13"/>
  <c r="AI72" i="13"/>
  <c r="AH16" i="13"/>
  <c r="AH72" i="13"/>
  <c r="AG16" i="13"/>
  <c r="AG72" i="13"/>
  <c r="AF16" i="13"/>
  <c r="AF72" i="13"/>
  <c r="AE16" i="13"/>
  <c r="AE72" i="13"/>
  <c r="AR29" i="13"/>
  <c r="AR71" i="13"/>
  <c r="AI29" i="13"/>
  <c r="AI71" i="13"/>
  <c r="AH29" i="13"/>
  <c r="AH71" i="13"/>
  <c r="AG29" i="13"/>
  <c r="AG71" i="13"/>
  <c r="AF29" i="13"/>
  <c r="AF71" i="13"/>
  <c r="AE29" i="13"/>
  <c r="AE71" i="13"/>
  <c r="AR70" i="13"/>
  <c r="AI20" i="13"/>
  <c r="AI70" i="13"/>
  <c r="AH20" i="13"/>
  <c r="AH70" i="13"/>
  <c r="AG20" i="13"/>
  <c r="AG70" i="13"/>
  <c r="AF20" i="13"/>
  <c r="AF70" i="13"/>
  <c r="AE20" i="13"/>
  <c r="AE70" i="13"/>
  <c r="AR24" i="13"/>
  <c r="AR69" i="13"/>
  <c r="AI24" i="13"/>
  <c r="AI69" i="13"/>
  <c r="AH24" i="13"/>
  <c r="AH69" i="13"/>
  <c r="AG24" i="13"/>
  <c r="AG69" i="13"/>
  <c r="AF24" i="13"/>
  <c r="AF69" i="13"/>
  <c r="AE24" i="13"/>
  <c r="AE69" i="13"/>
  <c r="AR9" i="13"/>
  <c r="AR68" i="13"/>
  <c r="AI9" i="13"/>
  <c r="AI68" i="13"/>
  <c r="AH9" i="13"/>
  <c r="AH68" i="13"/>
  <c r="AG9" i="13"/>
  <c r="AG68" i="13"/>
  <c r="AF9" i="13"/>
  <c r="AF68" i="13"/>
  <c r="AE9" i="13"/>
  <c r="AE68" i="13"/>
  <c r="AR5" i="13"/>
  <c r="AR67" i="13"/>
  <c r="AI5" i="13"/>
  <c r="AI67" i="13"/>
  <c r="AH5" i="13"/>
  <c r="AH67" i="13"/>
  <c r="AG5" i="13"/>
  <c r="AG67" i="13"/>
  <c r="AF5" i="13"/>
  <c r="AF67" i="13"/>
  <c r="AE5" i="13"/>
  <c r="AE67" i="13"/>
  <c r="AI17" i="13"/>
  <c r="AI66" i="13"/>
  <c r="AH17" i="13"/>
  <c r="AH66" i="13"/>
  <c r="AG17" i="13"/>
  <c r="AG66" i="13"/>
  <c r="AF17" i="13"/>
  <c r="AF66" i="13"/>
  <c r="AE17" i="13"/>
  <c r="AE66" i="13"/>
  <c r="AR21" i="13"/>
  <c r="AR65" i="13"/>
  <c r="AI21" i="13"/>
  <c r="AI65" i="13"/>
  <c r="AH21" i="13"/>
  <c r="AH65" i="13"/>
  <c r="AG21" i="13"/>
  <c r="AG65" i="13"/>
  <c r="AF21" i="13"/>
  <c r="AF65" i="13"/>
  <c r="AE21" i="13"/>
  <c r="AE65" i="13"/>
  <c r="AR25" i="13"/>
  <c r="AR64" i="13"/>
  <c r="AI25" i="13"/>
  <c r="AI64" i="13"/>
  <c r="AH25" i="13"/>
  <c r="AH64" i="13"/>
  <c r="AG25" i="13"/>
  <c r="AG64" i="13"/>
  <c r="AF25" i="13"/>
  <c r="AF64" i="13"/>
  <c r="AE25" i="13"/>
  <c r="AE64" i="13"/>
  <c r="AR62" i="13"/>
  <c r="AI62" i="13"/>
  <c r="AH62" i="13"/>
  <c r="AG62" i="13"/>
  <c r="AF62" i="13"/>
  <c r="AE62" i="13"/>
  <c r="AR61" i="13"/>
  <c r="AI61" i="13"/>
  <c r="AH61" i="13"/>
  <c r="AG61" i="13"/>
  <c r="AF61" i="13"/>
  <c r="AE61" i="13"/>
  <c r="AR60" i="13"/>
  <c r="AI60" i="13"/>
  <c r="AH60" i="13"/>
  <c r="AG60" i="13"/>
  <c r="AF60" i="13"/>
  <c r="AE60" i="13"/>
  <c r="AR59" i="13"/>
  <c r="AI59" i="13"/>
  <c r="AH59" i="13"/>
  <c r="AG59" i="13"/>
  <c r="AF59" i="13"/>
  <c r="AE59" i="13"/>
  <c r="AR58" i="13"/>
  <c r="AI58" i="13"/>
  <c r="AH58" i="13"/>
  <c r="AG58" i="13"/>
  <c r="AF58" i="13"/>
  <c r="AE58" i="13"/>
  <c r="AR57" i="13"/>
  <c r="AI57" i="13"/>
  <c r="AH57" i="13"/>
  <c r="AG57" i="13"/>
  <c r="AF57" i="13"/>
  <c r="AE57" i="13"/>
  <c r="AI56" i="13"/>
  <c r="AH56" i="13"/>
  <c r="AG56" i="13"/>
  <c r="AF56" i="13"/>
  <c r="AE56" i="13"/>
  <c r="AR55" i="13"/>
  <c r="AI55" i="13"/>
  <c r="AH55" i="13"/>
  <c r="AG55" i="13"/>
  <c r="AF55" i="13"/>
  <c r="AE55" i="13"/>
  <c r="AR54" i="13"/>
  <c r="AI54" i="13"/>
  <c r="AH54" i="13"/>
  <c r="AG54" i="13"/>
  <c r="AF54" i="13"/>
  <c r="AE54" i="13"/>
  <c r="AR53" i="13"/>
  <c r="AI53" i="13"/>
  <c r="AH53" i="13"/>
  <c r="AG53" i="13"/>
  <c r="AF53" i="13"/>
  <c r="AE53" i="13"/>
  <c r="AR52" i="13"/>
  <c r="AI52" i="13"/>
  <c r="AH52" i="13"/>
  <c r="AG52" i="13"/>
  <c r="AF52" i="13"/>
  <c r="AE52" i="13"/>
  <c r="AR51" i="13"/>
  <c r="AI51" i="13"/>
  <c r="AH51" i="13"/>
  <c r="AG51" i="13"/>
  <c r="AF51" i="13"/>
  <c r="AE51" i="13"/>
  <c r="AR50" i="13"/>
  <c r="AI50" i="13"/>
  <c r="AH50" i="13"/>
  <c r="AG50" i="13"/>
  <c r="AF50" i="13"/>
  <c r="AE50" i="13"/>
  <c r="AS23" i="13"/>
  <c r="AS49" i="13"/>
  <c r="AR23" i="13"/>
  <c r="AR49" i="13"/>
  <c r="AI23" i="13"/>
  <c r="AI49" i="13"/>
  <c r="AH23" i="13"/>
  <c r="AH49" i="13"/>
  <c r="AG23" i="13"/>
  <c r="AG49" i="13"/>
  <c r="AF23" i="13"/>
  <c r="AF49" i="13"/>
  <c r="AE23" i="13"/>
  <c r="AE49" i="13"/>
  <c r="AS6" i="13"/>
  <c r="AS47" i="13"/>
  <c r="AR6" i="13"/>
  <c r="AR47" i="13"/>
  <c r="AI6" i="13"/>
  <c r="AI47" i="13"/>
  <c r="AH6" i="13"/>
  <c r="AH47" i="13"/>
  <c r="AG6" i="13"/>
  <c r="AG47" i="13"/>
  <c r="AF6" i="13"/>
  <c r="AF47" i="13"/>
  <c r="AE6" i="13"/>
  <c r="AE47" i="13"/>
  <c r="AS10" i="13"/>
  <c r="AS46" i="13"/>
  <c r="AR10" i="13"/>
  <c r="AR46" i="13"/>
  <c r="AI10" i="13"/>
  <c r="AI46" i="13"/>
  <c r="AH10" i="13"/>
  <c r="AH46" i="13"/>
  <c r="AG10" i="13"/>
  <c r="AG46" i="13"/>
  <c r="AF10" i="13"/>
  <c r="AF46" i="13"/>
  <c r="AE10" i="13"/>
  <c r="AE46" i="13"/>
  <c r="AS15" i="13"/>
  <c r="AS44" i="13"/>
  <c r="AR15" i="13"/>
  <c r="AR44" i="13"/>
  <c r="AI15" i="13"/>
  <c r="AI44" i="13"/>
  <c r="AH15" i="13"/>
  <c r="AH44" i="13"/>
  <c r="AG15" i="13"/>
  <c r="AG44" i="13"/>
  <c r="AF15" i="13"/>
  <c r="AF44" i="13"/>
  <c r="AE15" i="13"/>
  <c r="AE44" i="13"/>
  <c r="AS28" i="13"/>
  <c r="AS43" i="13"/>
  <c r="AR28" i="13"/>
  <c r="AR43" i="13"/>
  <c r="AI28" i="13"/>
  <c r="AI43" i="13"/>
  <c r="AH28" i="13"/>
  <c r="AH43" i="13"/>
  <c r="AG28" i="13"/>
  <c r="AG43" i="13"/>
  <c r="AF28" i="13"/>
  <c r="AF43" i="13"/>
  <c r="AE28" i="13"/>
  <c r="AE43" i="13"/>
  <c r="AS19" i="13"/>
  <c r="AS42" i="13"/>
  <c r="AR19" i="13"/>
  <c r="AR42" i="13"/>
  <c r="AI19" i="13"/>
  <c r="AI42" i="13"/>
  <c r="AH19" i="13"/>
  <c r="AH42" i="13"/>
  <c r="AG19" i="13"/>
  <c r="AG42" i="13"/>
  <c r="AF19" i="13"/>
  <c r="AF42" i="13"/>
  <c r="AE19" i="13"/>
  <c r="AE42" i="13"/>
  <c r="AS8" i="13"/>
  <c r="AS41" i="13"/>
  <c r="AR8" i="13"/>
  <c r="AR41" i="13"/>
  <c r="AI8" i="13"/>
  <c r="AI41" i="13"/>
  <c r="AH8" i="13"/>
  <c r="AH41" i="13"/>
  <c r="AG8" i="13"/>
  <c r="AG41" i="13"/>
  <c r="AF8" i="13"/>
  <c r="AF41" i="13"/>
  <c r="AE8" i="13"/>
  <c r="AE41" i="13"/>
  <c r="AS4" i="13"/>
  <c r="AS40" i="13"/>
  <c r="AR4" i="13"/>
  <c r="AR40" i="13"/>
  <c r="AI4" i="13"/>
  <c r="AI40" i="13"/>
  <c r="AH4" i="13"/>
  <c r="AH40" i="13"/>
  <c r="AG4" i="13"/>
  <c r="AG40" i="13"/>
  <c r="AF4" i="13"/>
  <c r="AF40" i="13"/>
  <c r="AE4" i="13"/>
  <c r="AE40" i="13"/>
  <c r="AS11" i="13"/>
  <c r="AS39" i="13"/>
  <c r="AR11" i="13"/>
  <c r="AR39" i="13"/>
  <c r="AI11" i="13"/>
  <c r="AI39" i="13"/>
  <c r="AH11" i="13"/>
  <c r="AH39" i="13"/>
  <c r="AG11" i="13"/>
  <c r="AG39" i="13"/>
  <c r="AF11" i="13"/>
  <c r="AF39" i="13"/>
  <c r="AE11" i="13"/>
  <c r="AE39" i="13"/>
  <c r="AS2" i="13"/>
  <c r="AS38" i="13"/>
  <c r="AR2" i="13"/>
  <c r="AR38" i="13"/>
  <c r="AI2" i="13"/>
  <c r="AI38" i="13"/>
  <c r="AH2" i="13"/>
  <c r="AH38" i="13"/>
  <c r="AG2" i="13"/>
  <c r="AG38" i="13"/>
  <c r="AF2" i="13"/>
  <c r="AF38" i="13"/>
  <c r="AE2" i="13"/>
  <c r="AE38" i="13"/>
  <c r="AS22" i="13"/>
  <c r="AS37" i="13"/>
  <c r="AR22" i="13"/>
  <c r="AR37" i="13"/>
  <c r="AI22" i="13"/>
  <c r="AI37" i="13"/>
  <c r="AH22" i="13"/>
  <c r="AH37" i="13"/>
  <c r="AG22" i="13"/>
  <c r="AG37" i="13"/>
  <c r="AF22" i="13"/>
  <c r="AF37" i="13"/>
  <c r="AE22" i="13"/>
  <c r="AE37" i="13"/>
  <c r="AS26" i="13"/>
  <c r="AS36" i="13"/>
  <c r="AR26" i="13"/>
  <c r="AR36" i="13"/>
  <c r="AI26" i="13"/>
  <c r="AI36" i="13"/>
  <c r="AH26" i="13"/>
  <c r="AH36" i="13"/>
  <c r="AG26" i="13"/>
  <c r="AG36" i="13"/>
  <c r="AF26" i="13"/>
  <c r="AF36" i="13"/>
  <c r="AE26" i="13"/>
  <c r="AE36" i="13"/>
  <c r="AS30" i="13"/>
  <c r="AS35" i="13"/>
  <c r="AR30" i="13"/>
  <c r="AR35" i="13"/>
  <c r="AI30" i="13"/>
  <c r="AI35" i="13"/>
  <c r="AH30" i="13"/>
  <c r="AH35" i="13"/>
  <c r="AG30" i="13"/>
  <c r="AG35" i="13"/>
  <c r="AF30" i="13"/>
  <c r="AF35" i="13"/>
  <c r="AE30" i="13"/>
  <c r="AE35" i="13"/>
  <c r="AS14" i="13"/>
  <c r="AS34" i="13"/>
  <c r="AR14" i="13"/>
  <c r="AR34" i="13"/>
  <c r="AI14" i="13"/>
  <c r="AI34" i="13"/>
  <c r="AH14" i="13"/>
  <c r="AH34" i="13"/>
  <c r="AG14" i="13"/>
  <c r="AG34" i="13"/>
  <c r="AF14" i="13"/>
  <c r="AF34" i="13"/>
  <c r="AE14" i="13"/>
  <c r="AE34" i="13"/>
  <c r="AS13" i="13"/>
  <c r="AS33" i="13"/>
  <c r="AR13" i="13"/>
  <c r="AR33" i="13"/>
  <c r="AI13" i="13"/>
  <c r="AI33" i="13"/>
  <c r="AH13" i="13"/>
  <c r="AH33" i="13"/>
  <c r="AG13" i="13"/>
  <c r="AG33" i="13"/>
  <c r="AF13" i="13"/>
  <c r="AF33" i="13"/>
  <c r="AE13" i="13"/>
  <c r="AE33" i="13"/>
  <c r="AS3" i="13"/>
  <c r="AS32" i="13"/>
  <c r="AR3" i="13"/>
  <c r="AR32" i="13"/>
  <c r="AI3" i="13"/>
  <c r="AI32" i="13"/>
  <c r="AH3" i="13"/>
  <c r="AH32" i="13"/>
  <c r="AG3" i="13"/>
  <c r="AG32" i="13"/>
  <c r="AF3" i="13"/>
  <c r="AF32" i="13"/>
  <c r="AE3" i="13"/>
  <c r="AE32" i="13"/>
  <c r="AU76" i="13"/>
  <c r="AV76" i="13"/>
  <c r="AT75" i="13"/>
  <c r="AU75" i="13"/>
  <c r="AV75" i="13"/>
  <c r="AU74" i="13"/>
  <c r="AT74" i="13"/>
  <c r="AV73" i="13"/>
  <c r="AU72" i="13"/>
  <c r="AV72" i="13"/>
  <c r="AT71" i="13"/>
  <c r="AU71" i="13"/>
  <c r="AV71" i="13"/>
  <c r="AT70" i="13"/>
  <c r="AV70" i="13"/>
  <c r="AU68" i="13"/>
  <c r="AV68" i="13"/>
  <c r="AT67" i="13"/>
  <c r="AU67" i="13"/>
  <c r="AV67" i="13"/>
  <c r="AU66" i="13"/>
  <c r="AT66" i="13"/>
  <c r="AV65" i="13"/>
  <c r="AU64" i="13"/>
  <c r="AV64" i="13"/>
  <c r="AT63" i="13"/>
  <c r="AU62" i="13"/>
  <c r="AV62" i="13"/>
  <c r="AT61" i="13"/>
  <c r="AU61" i="13"/>
  <c r="AV61" i="13"/>
  <c r="AT60" i="13"/>
  <c r="AU59" i="13"/>
  <c r="AT59" i="13"/>
  <c r="AU58" i="13"/>
  <c r="AV58" i="13"/>
  <c r="AT57" i="13"/>
  <c r="AT56" i="13"/>
  <c r="AU55" i="13"/>
  <c r="AT55" i="13"/>
  <c r="AU54" i="13"/>
  <c r="AV54" i="13"/>
  <c r="AT53" i="13"/>
  <c r="AU53" i="13"/>
  <c r="AV53" i="13"/>
  <c r="AT52" i="13"/>
  <c r="AU51" i="13"/>
  <c r="AT48" i="13"/>
  <c r="AU50" i="13"/>
  <c r="AV50" i="13"/>
  <c r="AT49" i="13"/>
  <c r="AU49" i="13"/>
  <c r="AV49" i="13"/>
  <c r="AT47" i="13"/>
  <c r="AU47" i="13"/>
  <c r="AV47" i="13"/>
  <c r="AU46" i="13"/>
  <c r="AT46" i="13"/>
  <c r="AV45" i="13"/>
  <c r="AV46" i="13"/>
  <c r="AU45" i="13"/>
  <c r="AT45" i="13"/>
  <c r="AU44" i="13"/>
  <c r="AT44" i="13"/>
  <c r="AV44" i="13"/>
  <c r="AU43" i="13"/>
  <c r="AT43" i="13"/>
  <c r="AU42" i="13"/>
  <c r="AV42" i="13"/>
  <c r="AT41" i="13"/>
  <c r="AU41" i="13"/>
  <c r="AV41" i="13"/>
  <c r="AU40" i="13"/>
  <c r="AT40" i="13"/>
  <c r="AV40" i="13"/>
  <c r="AU39" i="13"/>
  <c r="AT39" i="13"/>
  <c r="AU38" i="13"/>
  <c r="AV38" i="13"/>
  <c r="AT37" i="13"/>
  <c r="AU37" i="13"/>
  <c r="AV37" i="13"/>
  <c r="AU36" i="13"/>
  <c r="AT36" i="13"/>
  <c r="AV36" i="13"/>
  <c r="AU35" i="13"/>
  <c r="AV35" i="13"/>
  <c r="AU31" i="13"/>
  <c r="AV34" i="13"/>
  <c r="AT33" i="13"/>
  <c r="AU33" i="13"/>
  <c r="AV33" i="13"/>
  <c r="AU32" i="13"/>
  <c r="AT32" i="13"/>
  <c r="AV32" i="13"/>
  <c r="AV31" i="13"/>
  <c r="AM75" i="13"/>
  <c r="AL75" i="13"/>
  <c r="AN74" i="13"/>
  <c r="AM74" i="13"/>
  <c r="AJ74" i="13"/>
  <c r="AN73" i="13"/>
  <c r="AK73" i="13"/>
  <c r="AJ73" i="13"/>
  <c r="AL72" i="13"/>
  <c r="AL71" i="13"/>
  <c r="AM70" i="13"/>
  <c r="AN69" i="13"/>
  <c r="AM68" i="13"/>
  <c r="AM67" i="13"/>
  <c r="AL67" i="13"/>
  <c r="AM66" i="13"/>
  <c r="AJ66" i="13"/>
  <c r="AN65" i="13"/>
  <c r="AK65" i="13"/>
  <c r="AK64" i="13"/>
  <c r="AM62" i="13"/>
  <c r="AM61" i="13"/>
  <c r="AL60" i="13"/>
  <c r="AL58" i="13"/>
  <c r="AM57" i="13"/>
  <c r="AL56" i="13"/>
  <c r="AL54" i="13"/>
  <c r="AM53" i="13"/>
  <c r="AL52" i="13"/>
  <c r="AL48" i="13"/>
  <c r="AM48" i="13"/>
  <c r="AN45" i="13"/>
  <c r="AL47" i="13"/>
  <c r="AJ47" i="13"/>
  <c r="AK45" i="13"/>
  <c r="AM44" i="13"/>
  <c r="AL44" i="13"/>
  <c r="AM43" i="13"/>
  <c r="AJ43" i="13"/>
  <c r="AL42" i="13"/>
  <c r="AJ42" i="13"/>
  <c r="AK41" i="13"/>
  <c r="AM40" i="13"/>
  <c r="AL40" i="13"/>
  <c r="AM39" i="13"/>
  <c r="AJ39" i="13"/>
  <c r="AL38" i="13"/>
  <c r="AJ38" i="13"/>
  <c r="AL37" i="13"/>
  <c r="AN36" i="13"/>
  <c r="AL36" i="13"/>
  <c r="AN35" i="13"/>
  <c r="AM35" i="13"/>
  <c r="AN31" i="13"/>
  <c r="AJ34" i="13"/>
  <c r="AL33" i="13"/>
  <c r="AN32" i="13"/>
  <c r="AL32" i="13"/>
  <c r="U27" i="13"/>
  <c r="U76" i="13"/>
  <c r="W3" i="30"/>
  <c r="T9" i="30"/>
  <c r="T8" i="30"/>
  <c r="W10" i="30"/>
  <c r="W5" i="30"/>
  <c r="W6" i="30"/>
  <c r="W11" i="30"/>
  <c r="W7" i="30"/>
  <c r="W12" i="30"/>
  <c r="W8" i="30"/>
  <c r="W9" i="30"/>
  <c r="T4" i="30"/>
  <c r="W4" i="30"/>
  <c r="W2" i="30"/>
  <c r="T27" i="13"/>
  <c r="T76" i="13"/>
  <c r="U18" i="13"/>
  <c r="U75" i="13"/>
  <c r="T18" i="13"/>
  <c r="T75" i="13"/>
  <c r="U12" i="13"/>
  <c r="U74" i="13"/>
  <c r="T12" i="13"/>
  <c r="T74" i="13"/>
  <c r="U7" i="13"/>
  <c r="U73" i="13"/>
  <c r="T7" i="13"/>
  <c r="T73" i="13"/>
  <c r="U16" i="13"/>
  <c r="U72" i="13"/>
  <c r="T16" i="13"/>
  <c r="T72" i="13"/>
  <c r="U29" i="13"/>
  <c r="U71" i="13"/>
  <c r="T29" i="13"/>
  <c r="T71" i="13"/>
  <c r="U20" i="13"/>
  <c r="U70" i="13"/>
  <c r="T20" i="13"/>
  <c r="T70" i="13"/>
  <c r="U24" i="13"/>
  <c r="U69" i="13"/>
  <c r="T24" i="13"/>
  <c r="T69" i="13"/>
  <c r="U9" i="13"/>
  <c r="U68" i="13"/>
  <c r="T9" i="13"/>
  <c r="T68" i="13"/>
  <c r="U5" i="13"/>
  <c r="U67" i="13"/>
  <c r="T5" i="13"/>
  <c r="T67" i="13"/>
  <c r="U17" i="13"/>
  <c r="U66" i="13"/>
  <c r="T17" i="13"/>
  <c r="T66" i="13"/>
  <c r="U21" i="13"/>
  <c r="U65" i="13"/>
  <c r="T21" i="13"/>
  <c r="T65" i="13"/>
  <c r="U25" i="13"/>
  <c r="U64" i="13"/>
  <c r="T25" i="13"/>
  <c r="T64" i="13"/>
  <c r="U62" i="13"/>
  <c r="T62" i="13"/>
  <c r="U61" i="13"/>
  <c r="T61" i="13"/>
  <c r="U60" i="13"/>
  <c r="T60" i="13"/>
  <c r="U59" i="13"/>
  <c r="T59" i="13"/>
  <c r="U58" i="13"/>
  <c r="T58" i="13"/>
  <c r="U57" i="13"/>
  <c r="T57" i="13"/>
  <c r="U56" i="13"/>
  <c r="T56" i="13"/>
  <c r="U55" i="13"/>
  <c r="T55" i="13"/>
  <c r="U54" i="13"/>
  <c r="T54" i="13"/>
  <c r="U53" i="13"/>
  <c r="T53" i="13"/>
  <c r="U52" i="13"/>
  <c r="T52" i="13"/>
  <c r="U51" i="13"/>
  <c r="T51" i="13"/>
  <c r="U50" i="13"/>
  <c r="T50" i="13"/>
  <c r="U23" i="13"/>
  <c r="U49" i="13"/>
  <c r="T23" i="13"/>
  <c r="T49" i="13"/>
  <c r="U6" i="13"/>
  <c r="U47" i="13"/>
  <c r="T6" i="13"/>
  <c r="T47" i="13"/>
  <c r="U10" i="13"/>
  <c r="U46" i="13"/>
  <c r="T10" i="13"/>
  <c r="T46" i="13"/>
  <c r="J27" i="13"/>
  <c r="J76" i="13"/>
  <c r="J18" i="13"/>
  <c r="J75" i="13"/>
  <c r="J12" i="13"/>
  <c r="J74" i="13"/>
  <c r="J7" i="13"/>
  <c r="J73" i="13"/>
  <c r="J16" i="13"/>
  <c r="J72" i="13"/>
  <c r="J29" i="13"/>
  <c r="J71" i="13"/>
  <c r="J20" i="13"/>
  <c r="J70" i="13"/>
  <c r="J24" i="13"/>
  <c r="J69" i="13"/>
  <c r="M69" i="13"/>
  <c r="J9" i="13"/>
  <c r="J68" i="13"/>
  <c r="J5" i="13"/>
  <c r="J67" i="13"/>
  <c r="J17" i="13"/>
  <c r="J66" i="13"/>
  <c r="J21" i="13"/>
  <c r="J65" i="13"/>
  <c r="J25" i="13"/>
  <c r="J64" i="13"/>
  <c r="M63" i="13"/>
  <c r="J62" i="13"/>
  <c r="J61" i="13"/>
  <c r="J60" i="13"/>
  <c r="J59" i="13"/>
  <c r="J58" i="13"/>
  <c r="J57" i="13"/>
  <c r="J56" i="13"/>
  <c r="M56" i="13"/>
  <c r="J55" i="13"/>
  <c r="J54" i="13"/>
  <c r="J53" i="13"/>
  <c r="J52" i="13"/>
  <c r="J51" i="13"/>
  <c r="J50" i="13"/>
  <c r="J23" i="13"/>
  <c r="J49" i="13"/>
  <c r="J6" i="13"/>
  <c r="J47" i="13"/>
  <c r="J10" i="13"/>
  <c r="J46" i="13"/>
  <c r="M45" i="13"/>
  <c r="T3" i="30"/>
  <c r="T10" i="30"/>
  <c r="T5" i="30"/>
  <c r="T6" i="30"/>
  <c r="T11" i="30"/>
  <c r="T7" i="30"/>
  <c r="T2" i="30"/>
  <c r="I27" i="13"/>
  <c r="I76" i="13"/>
  <c r="I18" i="13"/>
  <c r="I75" i="13"/>
  <c r="I12" i="13"/>
  <c r="I74" i="13"/>
  <c r="I7" i="13"/>
  <c r="I73" i="13"/>
  <c r="I16" i="13"/>
  <c r="I72" i="13"/>
  <c r="I29" i="13"/>
  <c r="I71" i="13"/>
  <c r="I20" i="13"/>
  <c r="I70" i="13"/>
  <c r="I24" i="13"/>
  <c r="I69" i="13"/>
  <c r="I9" i="13"/>
  <c r="I68" i="13"/>
  <c r="I5" i="13"/>
  <c r="I67" i="13"/>
  <c r="I17" i="13"/>
  <c r="I66" i="13"/>
  <c r="I21" i="13"/>
  <c r="I65" i="13"/>
  <c r="I25" i="13"/>
  <c r="I64" i="13"/>
  <c r="I62" i="13"/>
  <c r="I61" i="13"/>
  <c r="I60" i="13"/>
  <c r="I59" i="13"/>
  <c r="I58" i="13"/>
  <c r="I57" i="13"/>
  <c r="I56" i="13"/>
  <c r="I55" i="13"/>
  <c r="I54" i="13"/>
  <c r="I53" i="13"/>
  <c r="I52" i="13"/>
  <c r="I51" i="13"/>
  <c r="I50" i="13"/>
  <c r="I23" i="13"/>
  <c r="I49" i="13"/>
  <c r="I6" i="13"/>
  <c r="I47" i="13"/>
  <c r="U15" i="13"/>
  <c r="U44" i="13"/>
  <c r="T15" i="13"/>
  <c r="T44" i="13"/>
  <c r="U28" i="13"/>
  <c r="U43" i="13"/>
  <c r="T28" i="13"/>
  <c r="T43" i="13"/>
  <c r="U19" i="13"/>
  <c r="U42" i="13"/>
  <c r="T19" i="13"/>
  <c r="T42" i="13"/>
  <c r="U8" i="13"/>
  <c r="U41" i="13"/>
  <c r="T8" i="13"/>
  <c r="T41" i="13"/>
  <c r="U4" i="13"/>
  <c r="U40" i="13"/>
  <c r="T4" i="13"/>
  <c r="T40" i="13"/>
  <c r="U11" i="13"/>
  <c r="U39" i="13"/>
  <c r="T11" i="13"/>
  <c r="T39" i="13"/>
  <c r="U2" i="13"/>
  <c r="U38" i="13"/>
  <c r="T2" i="13"/>
  <c r="T38" i="13"/>
  <c r="U22" i="13"/>
  <c r="U37" i="13"/>
  <c r="T22" i="13"/>
  <c r="T37" i="13"/>
  <c r="U26" i="13"/>
  <c r="U36" i="13"/>
  <c r="T26" i="13"/>
  <c r="T36" i="13"/>
  <c r="U30" i="13"/>
  <c r="U35" i="13"/>
  <c r="T30" i="13"/>
  <c r="T35" i="13"/>
  <c r="U14" i="13"/>
  <c r="U34" i="13"/>
  <c r="T14" i="13"/>
  <c r="T34" i="13"/>
  <c r="U13" i="13"/>
  <c r="U33" i="13"/>
  <c r="T13" i="13"/>
  <c r="T33" i="13"/>
  <c r="U3" i="13"/>
  <c r="U32" i="13"/>
  <c r="T3" i="13"/>
  <c r="T32" i="13"/>
  <c r="L75" i="13"/>
  <c r="L71" i="13"/>
  <c r="L69" i="13"/>
  <c r="L65" i="13"/>
  <c r="L62" i="13"/>
  <c r="L60" i="13"/>
  <c r="L58" i="13"/>
  <c r="L54" i="13"/>
  <c r="I10" i="13"/>
  <c r="I46" i="13"/>
  <c r="L45" i="13"/>
  <c r="J15" i="13"/>
  <c r="J44" i="13"/>
  <c r="I15" i="13"/>
  <c r="I44" i="13"/>
  <c r="L44" i="13"/>
  <c r="J28" i="13"/>
  <c r="J43" i="13"/>
  <c r="I28" i="13"/>
  <c r="I43" i="13"/>
  <c r="J19" i="13"/>
  <c r="J42" i="13"/>
  <c r="I19" i="13"/>
  <c r="I42" i="13"/>
  <c r="L42" i="13"/>
  <c r="J8" i="13"/>
  <c r="J41" i="13"/>
  <c r="I8" i="13"/>
  <c r="I41" i="13"/>
  <c r="J4" i="13"/>
  <c r="J40" i="13"/>
  <c r="I4" i="13"/>
  <c r="I40" i="13"/>
  <c r="J11" i="13"/>
  <c r="J39" i="13"/>
  <c r="I11" i="13"/>
  <c r="I39" i="13"/>
  <c r="J2" i="13"/>
  <c r="J38" i="13"/>
  <c r="I2" i="13"/>
  <c r="I38" i="13"/>
  <c r="L38" i="13"/>
  <c r="J22" i="13"/>
  <c r="J37" i="13"/>
  <c r="I22" i="13"/>
  <c r="I37" i="13"/>
  <c r="J26" i="13"/>
  <c r="J36" i="13"/>
  <c r="I26" i="13"/>
  <c r="I36" i="13"/>
  <c r="L36" i="13"/>
  <c r="J30" i="13"/>
  <c r="J35" i="13"/>
  <c r="I30" i="13"/>
  <c r="I35" i="13"/>
  <c r="J14" i="13"/>
  <c r="J34" i="13"/>
  <c r="I14" i="13"/>
  <c r="I34" i="13"/>
  <c r="L34" i="13"/>
  <c r="J13" i="13"/>
  <c r="J33" i="13"/>
  <c r="I13" i="13"/>
  <c r="I33" i="13"/>
  <c r="J3" i="13"/>
  <c r="J32" i="13"/>
  <c r="M31" i="13"/>
  <c r="M40" i="13"/>
  <c r="M41" i="13"/>
  <c r="M42" i="13"/>
  <c r="M43" i="13"/>
  <c r="M50" i="13"/>
  <c r="M58" i="13"/>
  <c r="M60" i="13"/>
  <c r="L61" i="13"/>
  <c r="H7" i="13"/>
  <c r="H59" i="13"/>
  <c r="N59" i="13"/>
  <c r="H24" i="13"/>
  <c r="H55" i="13"/>
  <c r="N55" i="13"/>
  <c r="L53" i="13"/>
  <c r="L51" i="13"/>
  <c r="L49" i="13"/>
  <c r="H8" i="13"/>
  <c r="H41" i="13"/>
  <c r="N41" i="13"/>
  <c r="L39" i="13"/>
  <c r="H22" i="13"/>
  <c r="H37" i="13"/>
  <c r="N37" i="13"/>
  <c r="L35" i="13"/>
  <c r="H13" i="13"/>
  <c r="H33" i="13"/>
  <c r="N33" i="13"/>
  <c r="X76" i="13"/>
  <c r="X68" i="13"/>
  <c r="X64" i="13"/>
  <c r="I3" i="13"/>
  <c r="I32" i="13"/>
  <c r="S28" i="13"/>
  <c r="S43" i="13"/>
  <c r="H28" i="13"/>
  <c r="H43" i="13"/>
  <c r="H3" i="13"/>
  <c r="H32" i="13"/>
  <c r="H14" i="13"/>
  <c r="H34" i="13"/>
  <c r="H30" i="13"/>
  <c r="H35" i="13"/>
  <c r="H26" i="13"/>
  <c r="H36" i="13"/>
  <c r="H2" i="13"/>
  <c r="H38" i="13"/>
  <c r="H11" i="13"/>
  <c r="H39" i="13"/>
  <c r="H4" i="13"/>
  <c r="H40" i="13"/>
  <c r="H19" i="13"/>
  <c r="H42" i="13"/>
  <c r="H15" i="13"/>
  <c r="H44" i="13"/>
  <c r="K31" i="13"/>
  <c r="S3" i="13"/>
  <c r="S32" i="13"/>
  <c r="S13" i="13"/>
  <c r="S33" i="13"/>
  <c r="S14" i="13"/>
  <c r="S34" i="13"/>
  <c r="S30" i="13"/>
  <c r="S35" i="13"/>
  <c r="S26" i="13"/>
  <c r="S36" i="13"/>
  <c r="S22" i="13"/>
  <c r="S37" i="13"/>
  <c r="S2" i="13"/>
  <c r="S38" i="13"/>
  <c r="S11" i="13"/>
  <c r="S39" i="13"/>
  <c r="S4" i="13"/>
  <c r="S40" i="13"/>
  <c r="S8" i="13"/>
  <c r="S41" i="13"/>
  <c r="S19" i="13"/>
  <c r="S42" i="13"/>
  <c r="S15" i="13"/>
  <c r="S44" i="13"/>
  <c r="V31" i="13"/>
  <c r="V40" i="13"/>
  <c r="S5" i="13"/>
  <c r="S6" i="13"/>
  <c r="S7" i="13"/>
  <c r="S9" i="13"/>
  <c r="S68" i="13"/>
  <c r="AJ68" i="13"/>
  <c r="S10" i="13"/>
  <c r="S12" i="13"/>
  <c r="S74" i="13"/>
  <c r="V74" i="13"/>
  <c r="S16" i="13"/>
  <c r="S58" i="13"/>
  <c r="V58" i="13"/>
  <c r="S17" i="13"/>
  <c r="S18" i="13"/>
  <c r="S75" i="13"/>
  <c r="V75" i="13"/>
  <c r="AK75" i="13"/>
  <c r="S20" i="13"/>
  <c r="S70" i="13"/>
  <c r="V70" i="13"/>
  <c r="S21" i="13"/>
  <c r="S51" i="13"/>
  <c r="S23" i="13"/>
  <c r="S24" i="13"/>
  <c r="S55" i="13"/>
  <c r="S25" i="13"/>
  <c r="S64" i="13"/>
  <c r="AJ64" i="13"/>
  <c r="S27" i="13"/>
  <c r="AJ76" i="13"/>
  <c r="V43" i="13"/>
  <c r="S29" i="13"/>
  <c r="S71" i="13"/>
  <c r="V71" i="13"/>
  <c r="V35" i="13"/>
  <c r="S76" i="13"/>
  <c r="V76" i="13"/>
  <c r="S73" i="13"/>
  <c r="V73" i="13"/>
  <c r="S72" i="13"/>
  <c r="S67" i="13"/>
  <c r="V67" i="13"/>
  <c r="S66" i="13"/>
  <c r="V66" i="13"/>
  <c r="S65" i="13"/>
  <c r="V65" i="13"/>
  <c r="S62" i="13"/>
  <c r="V62" i="13"/>
  <c r="S59" i="13"/>
  <c r="S53" i="13"/>
  <c r="V53" i="13"/>
  <c r="S52" i="13"/>
  <c r="V52" i="13"/>
  <c r="S50" i="13"/>
  <c r="V50" i="13"/>
  <c r="S49" i="13"/>
  <c r="V49" i="13"/>
  <c r="S47" i="13"/>
  <c r="V47" i="13"/>
  <c r="S46" i="13"/>
  <c r="V44" i="13"/>
  <c r="V42" i="13"/>
  <c r="V39" i="13"/>
  <c r="V38" i="13"/>
  <c r="V37" i="13"/>
  <c r="V36" i="13"/>
  <c r="V34" i="13"/>
  <c r="V32" i="13"/>
  <c r="AN76" i="13"/>
  <c r="AM76" i="13"/>
  <c r="AL76" i="13"/>
  <c r="AK76" i="13"/>
  <c r="AN75" i="13"/>
  <c r="AJ75" i="13"/>
  <c r="AL74" i="13"/>
  <c r="AK74" i="13"/>
  <c r="AM73" i="13"/>
  <c r="AL73" i="13"/>
  <c r="AM72" i="13"/>
  <c r="AN72" i="13"/>
  <c r="AJ72" i="13"/>
  <c r="AM71" i="13"/>
  <c r="AN71" i="13"/>
  <c r="AK71" i="13"/>
  <c r="AN70" i="13"/>
  <c r="AL70" i="13"/>
  <c r="AK70" i="13"/>
  <c r="AJ70" i="13"/>
  <c r="AM69" i="13"/>
  <c r="AL69" i="13"/>
  <c r="AK69" i="13"/>
  <c r="AJ69" i="13"/>
  <c r="AN68" i="13"/>
  <c r="AL68" i="13"/>
  <c r="AK68" i="13"/>
  <c r="AN67" i="13"/>
  <c r="AK67" i="13"/>
  <c r="AN66" i="13"/>
  <c r="AL66" i="13"/>
  <c r="AK66" i="13"/>
  <c r="AM65" i="13"/>
  <c r="AL65" i="13"/>
  <c r="AM64" i="13"/>
  <c r="AN64" i="13"/>
  <c r="AL63" i="13"/>
  <c r="AN62" i="13"/>
  <c r="AL62" i="13"/>
  <c r="AK62" i="13"/>
  <c r="AJ62" i="13"/>
  <c r="AN61" i="13"/>
  <c r="AL61" i="13"/>
  <c r="AJ61" i="13"/>
  <c r="AN60" i="13"/>
  <c r="AM60" i="13"/>
  <c r="AK60" i="13"/>
  <c r="AJ60" i="13"/>
  <c r="AN59" i="13"/>
  <c r="AL59" i="13"/>
  <c r="AM59" i="13"/>
  <c r="AK59" i="13"/>
  <c r="AJ59" i="13"/>
  <c r="AN58" i="13"/>
  <c r="AM58" i="13"/>
  <c r="AK58" i="13"/>
  <c r="AJ58" i="13"/>
  <c r="AN57" i="13"/>
  <c r="AL57" i="13"/>
  <c r="AK57" i="13"/>
  <c r="AJ57" i="13"/>
  <c r="AN56" i="13"/>
  <c r="AM56" i="13"/>
  <c r="AK56" i="13"/>
  <c r="AJ56" i="13"/>
  <c r="AN55" i="13"/>
  <c r="AL55" i="13"/>
  <c r="AM55" i="13"/>
  <c r="AK55" i="13"/>
  <c r="AJ55" i="13"/>
  <c r="AN54" i="13"/>
  <c r="AM54" i="13"/>
  <c r="AK54" i="13"/>
  <c r="AJ54" i="13"/>
  <c r="AN53" i="13"/>
  <c r="AL53" i="13"/>
  <c r="AK53" i="13"/>
  <c r="AJ53" i="13"/>
  <c r="AN52" i="13"/>
  <c r="AM52" i="13"/>
  <c r="AK52" i="13"/>
  <c r="AJ52" i="13"/>
  <c r="AN51" i="13"/>
  <c r="AL51" i="13"/>
  <c r="AM51" i="13"/>
  <c r="AK51" i="13"/>
  <c r="AJ51" i="13"/>
  <c r="AN50" i="13"/>
  <c r="AM50" i="13"/>
  <c r="AK50" i="13"/>
  <c r="AJ50" i="13"/>
  <c r="AN49" i="13"/>
  <c r="AL49" i="13"/>
  <c r="AK49" i="13"/>
  <c r="AJ49" i="13"/>
  <c r="AN48" i="13"/>
  <c r="AM47" i="13"/>
  <c r="AK47" i="13"/>
  <c r="AN47" i="13"/>
  <c r="AM46" i="13"/>
  <c r="AK46" i="13"/>
  <c r="AL46" i="13"/>
  <c r="AM45" i="13"/>
  <c r="AN44" i="13"/>
  <c r="AJ44" i="13"/>
  <c r="AK44" i="13"/>
  <c r="AN43" i="13"/>
  <c r="AL43" i="13"/>
  <c r="AK43" i="13"/>
  <c r="AN42" i="13"/>
  <c r="AM42" i="13"/>
  <c r="AK42" i="13"/>
  <c r="AN41" i="13"/>
  <c r="AL41" i="13"/>
  <c r="AJ41" i="13"/>
  <c r="AM41" i="13"/>
  <c r="AN40" i="13"/>
  <c r="AJ40" i="13"/>
  <c r="AK40" i="13"/>
  <c r="AN39" i="13"/>
  <c r="AL39" i="13"/>
  <c r="AK39" i="13"/>
  <c r="AN38" i="13"/>
  <c r="AM38" i="13"/>
  <c r="AN37" i="13"/>
  <c r="AJ37" i="13"/>
  <c r="AM37" i="13"/>
  <c r="AK37" i="13"/>
  <c r="AJ36" i="13"/>
  <c r="AM36" i="13"/>
  <c r="AK36" i="13"/>
  <c r="AL35" i="13"/>
  <c r="AJ35" i="13"/>
  <c r="AK35" i="13"/>
  <c r="AL34" i="13"/>
  <c r="AM34" i="13"/>
  <c r="AK34" i="13"/>
  <c r="AN33" i="13"/>
  <c r="AJ33" i="13"/>
  <c r="AM33" i="13"/>
  <c r="AK33" i="13"/>
  <c r="AJ32" i="13"/>
  <c r="AM31" i="13"/>
  <c r="AK32" i="13"/>
  <c r="AJ31" i="13"/>
  <c r="H27" i="13"/>
  <c r="H76" i="13"/>
  <c r="H18" i="13"/>
  <c r="H75" i="13"/>
  <c r="H12" i="13"/>
  <c r="H74" i="13"/>
  <c r="H73" i="13"/>
  <c r="H16" i="13"/>
  <c r="H72" i="13"/>
  <c r="H29" i="13"/>
  <c r="H71" i="13"/>
  <c r="H20" i="13"/>
  <c r="H70" i="13"/>
  <c r="H69" i="13"/>
  <c r="H9" i="13"/>
  <c r="H68" i="13"/>
  <c r="H5" i="13"/>
  <c r="H67" i="13"/>
  <c r="H17" i="13"/>
  <c r="H66" i="13"/>
  <c r="H21" i="13"/>
  <c r="H65" i="13"/>
  <c r="H25" i="13"/>
  <c r="H64" i="13"/>
  <c r="H62" i="13"/>
  <c r="H61" i="13"/>
  <c r="H60" i="13"/>
  <c r="H58" i="13"/>
  <c r="H57" i="13"/>
  <c r="H56" i="13"/>
  <c r="H54" i="13"/>
  <c r="H53" i="13"/>
  <c r="H52" i="13"/>
  <c r="H51" i="13"/>
  <c r="H50" i="13"/>
  <c r="H23" i="13"/>
  <c r="H49" i="13"/>
  <c r="H6" i="13"/>
  <c r="H47" i="13"/>
  <c r="H10" i="13"/>
  <c r="H46" i="13"/>
  <c r="M75" i="13"/>
  <c r="K73" i="13"/>
  <c r="M71" i="13"/>
  <c r="L70" i="13"/>
  <c r="L66" i="13"/>
  <c r="K65" i="13"/>
  <c r="M62" i="13"/>
  <c r="K60" i="13"/>
  <c r="L57" i="13"/>
  <c r="K56" i="13"/>
  <c r="M54" i="13"/>
  <c r="K52" i="13"/>
  <c r="L43" i="13"/>
  <c r="K42" i="13"/>
  <c r="K38" i="13"/>
  <c r="M36" i="13"/>
  <c r="M76" i="13"/>
  <c r="L76" i="13"/>
  <c r="K76" i="13"/>
  <c r="N76" i="13"/>
  <c r="W76" i="13"/>
  <c r="K75" i="13"/>
  <c r="M74" i="13"/>
  <c r="K74" i="13"/>
  <c r="L74" i="13"/>
  <c r="M73" i="13"/>
  <c r="L73" i="13"/>
  <c r="M72" i="13"/>
  <c r="L72" i="13"/>
  <c r="K72" i="13"/>
  <c r="N72" i="13"/>
  <c r="W72" i="13"/>
  <c r="K71" i="13"/>
  <c r="M70" i="13"/>
  <c r="K70" i="13"/>
  <c r="K69" i="13"/>
  <c r="M68" i="13"/>
  <c r="L68" i="13"/>
  <c r="K68" i="13"/>
  <c r="N68" i="13"/>
  <c r="W68" i="13"/>
  <c r="L67" i="13"/>
  <c r="K67" i="13"/>
  <c r="M66" i="13"/>
  <c r="K66" i="13"/>
  <c r="M64" i="13"/>
  <c r="L64" i="13"/>
  <c r="K64" i="13"/>
  <c r="N64" i="13"/>
  <c r="W64" i="13"/>
  <c r="K62" i="13"/>
  <c r="M61" i="13"/>
  <c r="K61" i="13"/>
  <c r="M59" i="13"/>
  <c r="L59" i="13"/>
  <c r="K59" i="13"/>
  <c r="K58" i="13"/>
  <c r="M57" i="13"/>
  <c r="K57" i="13"/>
  <c r="L56" i="13"/>
  <c r="M55" i="13"/>
  <c r="K55" i="13"/>
  <c r="K54" i="13"/>
  <c r="M53" i="13"/>
  <c r="K53" i="13"/>
  <c r="M52" i="13"/>
  <c r="L52" i="13"/>
  <c r="M51" i="13"/>
  <c r="K51" i="13"/>
  <c r="N51" i="13"/>
  <c r="X51" i="13"/>
  <c r="L50" i="13"/>
  <c r="K50" i="13"/>
  <c r="M49" i="13"/>
  <c r="K49" i="13"/>
  <c r="K46" i="13"/>
  <c r="K44" i="13"/>
  <c r="M44" i="13"/>
  <c r="K43" i="13"/>
  <c r="L41" i="13"/>
  <c r="K41" i="13"/>
  <c r="L40" i="13"/>
  <c r="K40" i="13"/>
  <c r="M39" i="13"/>
  <c r="K39" i="13"/>
  <c r="M38" i="13"/>
  <c r="M37" i="13"/>
  <c r="K37" i="13"/>
  <c r="K36" i="13"/>
  <c r="M35" i="13"/>
  <c r="K35" i="13"/>
  <c r="M34" i="13"/>
  <c r="K34" i="13"/>
  <c r="M33" i="13"/>
  <c r="K33" i="13"/>
  <c r="L32" i="13"/>
  <c r="K32" i="13"/>
  <c r="M32" i="13"/>
  <c r="M3" i="9"/>
  <c r="N3" i="9"/>
  <c r="M4" i="9"/>
  <c r="N4" i="9"/>
  <c r="M5" i="9"/>
  <c r="N5" i="9"/>
  <c r="M6" i="9"/>
  <c r="N6" i="9"/>
  <c r="M7" i="9"/>
  <c r="N7" i="9"/>
  <c r="M8" i="9"/>
  <c r="N8" i="9"/>
  <c r="M9" i="9"/>
  <c r="N9" i="9"/>
  <c r="M10" i="9"/>
  <c r="N10" i="9"/>
  <c r="M11" i="9"/>
  <c r="N11" i="9"/>
  <c r="M12" i="9"/>
  <c r="N12" i="9"/>
  <c r="M13" i="9"/>
  <c r="N13" i="9"/>
  <c r="M14" i="9"/>
  <c r="N14" i="9"/>
  <c r="M15" i="9"/>
  <c r="N15" i="9"/>
  <c r="M16" i="9"/>
  <c r="N16" i="9"/>
  <c r="M17" i="9"/>
  <c r="N17" i="9"/>
  <c r="M18" i="9"/>
  <c r="N18" i="9"/>
  <c r="M19" i="9"/>
  <c r="N19" i="9"/>
  <c r="M20" i="9"/>
  <c r="N20" i="9"/>
  <c r="M21" i="9"/>
  <c r="N21" i="9"/>
  <c r="M22" i="9"/>
  <c r="N22" i="9"/>
  <c r="M23" i="9"/>
  <c r="N23" i="9"/>
  <c r="M24" i="9"/>
  <c r="N24" i="9"/>
  <c r="M25" i="9"/>
  <c r="N25" i="9"/>
  <c r="M26" i="9"/>
  <c r="N26" i="9"/>
  <c r="M27" i="9"/>
  <c r="N27" i="9"/>
  <c r="M28" i="9"/>
  <c r="N28" i="9"/>
  <c r="M29" i="9"/>
  <c r="N29" i="9"/>
  <c r="M30" i="9"/>
  <c r="N30" i="9"/>
  <c r="G13" i="26"/>
  <c r="G3" i="26"/>
  <c r="G9" i="26"/>
  <c r="G11" i="26"/>
  <c r="G15" i="26"/>
  <c r="G17" i="26"/>
  <c r="G19" i="26"/>
  <c r="G21" i="26"/>
  <c r="G23" i="26"/>
  <c r="G27" i="26"/>
  <c r="G2" i="26"/>
  <c r="G4" i="26"/>
  <c r="G6" i="26"/>
  <c r="G8" i="26"/>
  <c r="G10" i="26"/>
  <c r="G12" i="26"/>
  <c r="G16" i="26"/>
  <c r="G18" i="26"/>
  <c r="G20" i="26"/>
  <c r="G22" i="26"/>
  <c r="G24" i="26"/>
  <c r="G26" i="26"/>
  <c r="G28" i="26"/>
  <c r="G30" i="26"/>
  <c r="G8" i="25"/>
  <c r="G16" i="25"/>
  <c r="G3" i="25"/>
  <c r="G11" i="25"/>
  <c r="G15" i="25"/>
  <c r="G19" i="25"/>
  <c r="G12" i="25"/>
  <c r="G10" i="25"/>
  <c r="G14" i="25"/>
  <c r="G18" i="25"/>
  <c r="G26" i="25"/>
  <c r="G20" i="25"/>
  <c r="G2" i="25"/>
  <c r="G4" i="25"/>
  <c r="G6" i="25"/>
  <c r="G22" i="25"/>
  <c r="G28" i="25"/>
  <c r="G30" i="25"/>
  <c r="F45" i="24"/>
  <c r="AB45" i="24"/>
  <c r="V50" i="24"/>
  <c r="AA50" i="24"/>
  <c r="J51" i="24"/>
  <c r="X51" i="24"/>
  <c r="V52" i="24"/>
  <c r="J53" i="24"/>
  <c r="X53" i="24"/>
  <c r="V54" i="24"/>
  <c r="AA54" i="24"/>
  <c r="J55" i="24"/>
  <c r="X55" i="24"/>
  <c r="V56" i="24"/>
  <c r="J57" i="24"/>
  <c r="X57" i="24"/>
  <c r="V58" i="24"/>
  <c r="J59" i="24"/>
  <c r="M59" i="24"/>
  <c r="X59" i="24"/>
  <c r="V60" i="24"/>
  <c r="J61" i="24"/>
  <c r="X61" i="24"/>
  <c r="AC61" i="24"/>
  <c r="V62" i="24"/>
  <c r="J64" i="24"/>
  <c r="X64" i="24"/>
  <c r="V65" i="24"/>
  <c r="J66" i="24"/>
  <c r="X66" i="24"/>
  <c r="V67" i="24"/>
  <c r="J68" i="24"/>
  <c r="X68" i="24"/>
  <c r="V69" i="24"/>
  <c r="J70" i="24"/>
  <c r="X70" i="24"/>
  <c r="V71" i="24"/>
  <c r="J72" i="24"/>
  <c r="X72" i="24"/>
  <c r="V73" i="24"/>
  <c r="J74" i="24"/>
  <c r="X74" i="24"/>
  <c r="V75" i="24"/>
  <c r="J76" i="24"/>
  <c r="X76" i="24"/>
  <c r="W50" i="24"/>
  <c r="U51" i="24"/>
  <c r="Z51" i="24"/>
  <c r="Y51" i="24"/>
  <c r="W52" i="24"/>
  <c r="U53" i="24"/>
  <c r="Y53" i="24"/>
  <c r="AD53" i="24"/>
  <c r="W54" i="24"/>
  <c r="U55" i="24"/>
  <c r="Z55" i="24"/>
  <c r="Y55" i="24"/>
  <c r="W56" i="24"/>
  <c r="U57" i="24"/>
  <c r="Y57" i="24"/>
  <c r="W58" i="24"/>
  <c r="U59" i="24"/>
  <c r="Y59" i="24"/>
  <c r="W60" i="24"/>
  <c r="U61" i="24"/>
  <c r="Y61" i="24"/>
  <c r="W62" i="24"/>
  <c r="U64" i="24"/>
  <c r="Y64" i="24"/>
  <c r="W65" i="24"/>
  <c r="U66" i="24"/>
  <c r="Y66" i="24"/>
  <c r="AD66" i="24"/>
  <c r="W67" i="24"/>
  <c r="AB67" i="24"/>
  <c r="U68" i="24"/>
  <c r="Z68" i="24"/>
  <c r="Y68" i="24"/>
  <c r="W69" i="24"/>
  <c r="U70" i="24"/>
  <c r="Y70" i="24"/>
  <c r="W71" i="24"/>
  <c r="U72" i="24"/>
  <c r="Y72" i="24"/>
  <c r="W73" i="24"/>
  <c r="U74" i="24"/>
  <c r="Y74" i="24"/>
  <c r="AD74" i="24"/>
  <c r="W75" i="24"/>
  <c r="AB75" i="24"/>
  <c r="U76" i="24"/>
  <c r="Y76" i="24"/>
  <c r="N36" i="24"/>
  <c r="AJ47" i="24"/>
  <c r="AL47" i="24"/>
  <c r="M32" i="24"/>
  <c r="M31" i="24"/>
  <c r="AJ45" i="24"/>
  <c r="AL38" i="24"/>
  <c r="AJ38" i="24"/>
  <c r="K35" i="24"/>
  <c r="N35" i="24"/>
  <c r="N32" i="24"/>
  <c r="N40" i="24"/>
  <c r="K40" i="24"/>
  <c r="G11" i="24"/>
  <c r="AL34" i="24"/>
  <c r="AJ34" i="24"/>
  <c r="AJ52" i="24"/>
  <c r="AL52" i="24"/>
  <c r="AJ42" i="24"/>
  <c r="AL42" i="24"/>
  <c r="G27" i="24"/>
  <c r="G29" i="24"/>
  <c r="AB73" i="24"/>
  <c r="AB59" i="24"/>
  <c r="Z46" i="24"/>
  <c r="Z45" i="24"/>
  <c r="AK46" i="24"/>
  <c r="AK45" i="24"/>
  <c r="K74" i="24"/>
  <c r="Z72" i="24"/>
  <c r="Z58" i="24"/>
  <c r="AD61" i="24"/>
  <c r="AD75" i="24"/>
  <c r="N42" i="24"/>
  <c r="K42" i="24"/>
  <c r="Z70" i="24"/>
  <c r="Z56" i="24"/>
  <c r="AD69" i="24"/>
  <c r="AD55" i="24"/>
  <c r="K43" i="24"/>
  <c r="N43" i="24"/>
  <c r="AA31" i="24"/>
  <c r="AL39" i="24"/>
  <c r="AL41" i="24"/>
  <c r="AJ41" i="24"/>
  <c r="K52" i="24"/>
  <c r="AC67" i="24"/>
  <c r="AC53" i="24"/>
  <c r="AC46" i="24"/>
  <c r="AC45" i="24"/>
  <c r="G13" i="24"/>
  <c r="G17" i="24"/>
  <c r="G19" i="24"/>
  <c r="G25" i="24"/>
  <c r="AJ35" i="24"/>
  <c r="AL35" i="24"/>
  <c r="AB32" i="24"/>
  <c r="AB31" i="24"/>
  <c r="G4" i="24"/>
  <c r="G8" i="24"/>
  <c r="K45" i="24"/>
  <c r="N46" i="24"/>
  <c r="N45" i="24"/>
  <c r="AD46" i="24"/>
  <c r="AD45" i="24"/>
  <c r="Z74" i="24"/>
  <c r="Z60" i="24"/>
  <c r="AD72" i="24"/>
  <c r="AD58" i="24"/>
  <c r="K61" i="24"/>
  <c r="Z75" i="24"/>
  <c r="Z61" i="24"/>
  <c r="AD70" i="24"/>
  <c r="AD56" i="24"/>
  <c r="AK33" i="24"/>
  <c r="N37" i="24"/>
  <c r="N38" i="24"/>
  <c r="K38" i="24"/>
  <c r="AC32" i="24"/>
  <c r="AC31" i="24"/>
  <c r="K47" i="24"/>
  <c r="N47" i="24"/>
  <c r="G7" i="24"/>
  <c r="AC73" i="24"/>
  <c r="AC59" i="24"/>
  <c r="G10" i="24"/>
  <c r="AA45" i="24"/>
  <c r="G12" i="24"/>
  <c r="G14" i="24"/>
  <c r="G16" i="24"/>
  <c r="G18" i="24"/>
  <c r="G20" i="24"/>
  <c r="G22" i="24"/>
  <c r="G24" i="24"/>
  <c r="G26" i="24"/>
  <c r="G28" i="24"/>
  <c r="K33" i="24"/>
  <c r="N33" i="24"/>
  <c r="AL36" i="24"/>
  <c r="K46" i="24"/>
  <c r="AA64" i="24"/>
  <c r="L31" i="24"/>
  <c r="L32" i="24"/>
  <c r="AC54" i="24"/>
  <c r="AC68" i="24"/>
  <c r="AL46" i="24"/>
  <c r="AL45" i="24"/>
  <c r="G15" i="24"/>
  <c r="G21" i="24"/>
  <c r="G23" i="24"/>
  <c r="AC49" i="24"/>
  <c r="AJ43" i="24"/>
  <c r="AL43" i="24"/>
  <c r="G2" i="24"/>
  <c r="K32" i="24"/>
  <c r="N31" i="24"/>
  <c r="K31" i="24"/>
  <c r="Z32" i="24"/>
  <c r="Z31" i="24"/>
  <c r="AD32" i="24"/>
  <c r="AD31" i="24"/>
  <c r="AL32" i="24"/>
  <c r="AJ31" i="24"/>
  <c r="AJ32" i="24"/>
  <c r="AL31" i="24"/>
  <c r="AL40" i="24"/>
  <c r="M67" i="24"/>
  <c r="M53" i="24"/>
  <c r="G47" i="24"/>
  <c r="G6" i="24"/>
  <c r="M68" i="24"/>
  <c r="M54" i="24"/>
  <c r="AB54" i="24"/>
  <c r="AB68" i="24"/>
  <c r="E45" i="24"/>
  <c r="M46" i="24"/>
  <c r="M45" i="24"/>
  <c r="M52" i="24"/>
  <c r="M66" i="24"/>
  <c r="AB66" i="24"/>
  <c r="AB52" i="24"/>
  <c r="AB65" i="24"/>
  <c r="AB51" i="24"/>
  <c r="M49" i="24"/>
  <c r="AB49" i="24"/>
  <c r="M50" i="24"/>
  <c r="AB50" i="24"/>
  <c r="M62" i="24"/>
  <c r="M76" i="24"/>
  <c r="AB62" i="24"/>
  <c r="AB76" i="24"/>
  <c r="M71" i="24"/>
  <c r="M57" i="24"/>
  <c r="AB71" i="24"/>
  <c r="AB57" i="24"/>
  <c r="AJ37" i="24"/>
  <c r="K41" i="24"/>
  <c r="AJ46" i="24"/>
  <c r="M51" i="24"/>
  <c r="AD60" i="24"/>
  <c r="Z69" i="24"/>
  <c r="AK74" i="24"/>
  <c r="AK60" i="24"/>
  <c r="AC76" i="24"/>
  <c r="AC62" i="24"/>
  <c r="AD68" i="24"/>
  <c r="AD54" i="24"/>
  <c r="AB74" i="24"/>
  <c r="AB60" i="24"/>
  <c r="M72" i="24"/>
  <c r="M58" i="24"/>
  <c r="AB72" i="24"/>
  <c r="AB58" i="24"/>
  <c r="K66" i="24"/>
  <c r="N66" i="24"/>
  <c r="Z66" i="24"/>
  <c r="Z52" i="24"/>
  <c r="M75" i="24"/>
  <c r="M61" i="24"/>
  <c r="M70" i="24"/>
  <c r="M56" i="24"/>
  <c r="AB70" i="24"/>
  <c r="AB56" i="24"/>
  <c r="AD65" i="24"/>
  <c r="AD51" i="24"/>
  <c r="Z49" i="24"/>
  <c r="AD49" i="24"/>
  <c r="AL49" i="24"/>
  <c r="AJ49" i="24"/>
  <c r="AB69" i="24"/>
  <c r="AB55" i="24"/>
  <c r="N48" i="24"/>
  <c r="Z64" i="24"/>
  <c r="Z63" i="24"/>
  <c r="AD50" i="24"/>
  <c r="Z76" i="24"/>
  <c r="Z62" i="24"/>
  <c r="AD76" i="24"/>
  <c r="AD62" i="24"/>
  <c r="Z71" i="24"/>
  <c r="Z57" i="24"/>
  <c r="AD71" i="24"/>
  <c r="AD57" i="24"/>
  <c r="N49" i="24"/>
  <c r="Z50" i="24"/>
  <c r="AK51" i="24"/>
  <c r="M55" i="24"/>
  <c r="AK59" i="24"/>
  <c r="M74" i="24"/>
  <c r="AA74" i="24"/>
  <c r="AA60" i="24"/>
  <c r="L72" i="24"/>
  <c r="L58" i="24"/>
  <c r="AK72" i="24"/>
  <c r="AK58" i="24"/>
  <c r="AC66" i="24"/>
  <c r="AC52" i="24"/>
  <c r="AA75" i="24"/>
  <c r="AA61" i="24"/>
  <c r="AA70" i="24"/>
  <c r="AA56" i="24"/>
  <c r="AK56" i="24"/>
  <c r="AK70" i="24"/>
  <c r="AC65" i="24"/>
  <c r="AC51" i="24"/>
  <c r="L69" i="24"/>
  <c r="L55" i="24"/>
  <c r="AC50" i="24"/>
  <c r="AL33" i="24"/>
  <c r="L60" i="24"/>
  <c r="AA69" i="24"/>
  <c r="L75" i="24"/>
  <c r="Z67" i="24"/>
  <c r="Z53" i="24"/>
  <c r="Z73" i="24"/>
  <c r="Z59" i="24"/>
  <c r="AD73" i="24"/>
  <c r="AD59" i="24"/>
  <c r="L53" i="24"/>
  <c r="L67" i="24"/>
  <c r="AA67" i="24"/>
  <c r="AA53" i="24"/>
  <c r="AK67" i="24"/>
  <c r="AK53" i="24"/>
  <c r="L73" i="24"/>
  <c r="L59" i="24"/>
  <c r="AA73" i="24"/>
  <c r="AA59" i="24"/>
  <c r="L68" i="24"/>
  <c r="L54" i="24"/>
  <c r="AK68" i="24"/>
  <c r="AK54" i="24"/>
  <c r="AC74" i="24"/>
  <c r="AC60" i="24"/>
  <c r="AC72" i="24"/>
  <c r="AC58" i="24"/>
  <c r="AA66" i="24"/>
  <c r="AA52" i="24"/>
  <c r="AC70" i="24"/>
  <c r="AC56" i="24"/>
  <c r="L65" i="24"/>
  <c r="L51" i="24"/>
  <c r="AA65" i="24"/>
  <c r="AA51" i="24"/>
  <c r="L49" i="24"/>
  <c r="AA49" i="24"/>
  <c r="AK49" i="24"/>
  <c r="AC69" i="24"/>
  <c r="AC55" i="24"/>
  <c r="L50" i="24"/>
  <c r="AK50" i="24"/>
  <c r="L76" i="24"/>
  <c r="L62" i="24"/>
  <c r="AA76" i="24"/>
  <c r="AA62" i="24"/>
  <c r="AK62" i="24"/>
  <c r="AK76" i="24"/>
  <c r="L71" i="24"/>
  <c r="L57" i="24"/>
  <c r="AA71" i="24"/>
  <c r="AA57" i="24"/>
  <c r="AK71" i="24"/>
  <c r="AK57" i="24"/>
  <c r="L56" i="24"/>
  <c r="AC57" i="24"/>
  <c r="AA58" i="24"/>
  <c r="AK61" i="24"/>
  <c r="AK66" i="24"/>
  <c r="O31" i="12"/>
  <c r="D33" i="12"/>
  <c r="G19" i="12"/>
  <c r="AF19" i="12"/>
  <c r="D39" i="12"/>
  <c r="E31" i="12"/>
  <c r="R31" i="12"/>
  <c r="AE31" i="12"/>
  <c r="Q31" i="12"/>
  <c r="AD39" i="12"/>
  <c r="AD33" i="12"/>
  <c r="AF33" i="12"/>
  <c r="AD32" i="12"/>
  <c r="AF32" i="12"/>
  <c r="G23" i="12"/>
  <c r="F31" i="12"/>
  <c r="AD32" i="10"/>
  <c r="AD39" i="10"/>
  <c r="G15" i="10"/>
  <c r="AF15" i="10"/>
  <c r="AF41" i="10"/>
  <c r="AD49" i="10"/>
  <c r="AF37" i="10"/>
  <c r="Q31" i="10"/>
  <c r="F31" i="10"/>
  <c r="R31" i="10"/>
  <c r="AE31" i="10"/>
  <c r="G3" i="10"/>
  <c r="O31" i="10"/>
  <c r="S31" i="10"/>
  <c r="G11" i="10"/>
  <c r="G13" i="10"/>
  <c r="G23" i="10"/>
  <c r="E31" i="10"/>
  <c r="AB32" i="12"/>
  <c r="AB31" i="12"/>
  <c r="N34" i="12"/>
  <c r="K34" i="12"/>
  <c r="N35" i="12"/>
  <c r="K35" i="12"/>
  <c r="D31" i="12"/>
  <c r="G32" i="12"/>
  <c r="K31" i="12"/>
  <c r="K32" i="12"/>
  <c r="N31" i="12"/>
  <c r="N32" i="12"/>
  <c r="P31" i="12"/>
  <c r="Y32" i="12"/>
  <c r="Y31" i="12"/>
  <c r="AC32" i="12"/>
  <c r="AC31" i="12"/>
  <c r="AI32" i="12"/>
  <c r="AK32" i="12"/>
  <c r="AI31" i="12"/>
  <c r="AK31" i="12"/>
  <c r="G34" i="12"/>
  <c r="L32" i="12"/>
  <c r="L31" i="12"/>
  <c r="Z32" i="12"/>
  <c r="Z31" i="12"/>
  <c r="AJ32" i="12"/>
  <c r="AJ31" i="12"/>
  <c r="M31" i="12"/>
  <c r="M32" i="12"/>
  <c r="AA32" i="12"/>
  <c r="AA31" i="12"/>
  <c r="G33" i="12"/>
  <c r="N33" i="12"/>
  <c r="K33" i="12"/>
  <c r="AI34" i="12"/>
  <c r="AK34" i="12"/>
  <c r="AK35" i="12"/>
  <c r="AI35" i="12"/>
  <c r="O67" i="12"/>
  <c r="O53" i="12"/>
  <c r="W73" i="12"/>
  <c r="AB73" i="12"/>
  <c r="W59" i="12"/>
  <c r="AB59" i="12"/>
  <c r="S68" i="12"/>
  <c r="S54" i="12"/>
  <c r="Q45" i="12"/>
  <c r="Q74" i="12"/>
  <c r="Q60" i="12"/>
  <c r="AH74" i="12"/>
  <c r="AJ74" i="12"/>
  <c r="AH60" i="12"/>
  <c r="AJ60" i="12"/>
  <c r="Q72" i="12"/>
  <c r="Q58" i="12"/>
  <c r="AH72" i="12"/>
  <c r="AJ72" i="12"/>
  <c r="AH58" i="12"/>
  <c r="AJ58" i="12"/>
  <c r="S66" i="12"/>
  <c r="S52" i="12"/>
  <c r="Q75" i="12"/>
  <c r="Q61" i="12"/>
  <c r="E70" i="12"/>
  <c r="E56" i="12"/>
  <c r="U70" i="12"/>
  <c r="Z70" i="12"/>
  <c r="U56" i="12"/>
  <c r="Z56" i="12"/>
  <c r="AH70" i="12"/>
  <c r="AJ70" i="12"/>
  <c r="AH56" i="12"/>
  <c r="AJ56" i="12"/>
  <c r="S65" i="12"/>
  <c r="S51" i="12"/>
  <c r="I69" i="12"/>
  <c r="L69" i="12"/>
  <c r="I55" i="12"/>
  <c r="L55" i="12"/>
  <c r="AD69" i="12"/>
  <c r="AD55" i="12"/>
  <c r="O64" i="12"/>
  <c r="O50" i="12"/>
  <c r="S76" i="12"/>
  <c r="S62" i="12"/>
  <c r="AK33" i="12"/>
  <c r="G2" i="12"/>
  <c r="AF2" i="12"/>
  <c r="G4" i="12"/>
  <c r="AF4" i="12"/>
  <c r="E67" i="12"/>
  <c r="E53" i="12"/>
  <c r="I67" i="12"/>
  <c r="L67" i="12"/>
  <c r="I53" i="12"/>
  <c r="L53" i="12"/>
  <c r="Q67" i="12"/>
  <c r="Q53" i="12"/>
  <c r="U67" i="12"/>
  <c r="Z67" i="12"/>
  <c r="U53" i="12"/>
  <c r="Z53" i="12"/>
  <c r="AD67" i="12"/>
  <c r="AD53" i="12"/>
  <c r="AH67" i="12"/>
  <c r="AJ67" i="12"/>
  <c r="AH53" i="12"/>
  <c r="AJ53" i="12"/>
  <c r="G6" i="12"/>
  <c r="AF6" i="12"/>
  <c r="E73" i="12"/>
  <c r="E59" i="12"/>
  <c r="I73" i="12"/>
  <c r="L73" i="12"/>
  <c r="I59" i="12"/>
  <c r="L59" i="12"/>
  <c r="Q73" i="12"/>
  <c r="Q59" i="12"/>
  <c r="U73" i="12"/>
  <c r="Z73" i="12"/>
  <c r="U59" i="12"/>
  <c r="Z59" i="12"/>
  <c r="AD73" i="12"/>
  <c r="AD59" i="12"/>
  <c r="AH73" i="12"/>
  <c r="AJ73" i="12"/>
  <c r="AH59" i="12"/>
  <c r="AJ59" i="12"/>
  <c r="G8" i="12"/>
  <c r="AF8" i="12"/>
  <c r="E68" i="12"/>
  <c r="E54" i="12"/>
  <c r="I68" i="12"/>
  <c r="L68" i="12"/>
  <c r="I54" i="12"/>
  <c r="L54" i="12"/>
  <c r="Q68" i="12"/>
  <c r="Q54" i="12"/>
  <c r="U68" i="12"/>
  <c r="Z68" i="12"/>
  <c r="U54" i="12"/>
  <c r="Z54" i="12"/>
  <c r="AD68" i="12"/>
  <c r="AD54" i="12"/>
  <c r="AH68" i="12"/>
  <c r="AJ68" i="12"/>
  <c r="AH54" i="12"/>
  <c r="AJ54" i="12"/>
  <c r="G10" i="12"/>
  <c r="O45" i="12"/>
  <c r="S45" i="12"/>
  <c r="AB46" i="12"/>
  <c r="AB45" i="12"/>
  <c r="AF10" i="12"/>
  <c r="AF39" i="12"/>
  <c r="O74" i="12"/>
  <c r="O60" i="12"/>
  <c r="S74" i="12"/>
  <c r="S60" i="12"/>
  <c r="W74" i="12"/>
  <c r="AB74" i="12"/>
  <c r="W60" i="12"/>
  <c r="AB60" i="12"/>
  <c r="G14" i="12"/>
  <c r="AF14" i="12"/>
  <c r="AF44" i="12"/>
  <c r="O72" i="12"/>
  <c r="O58" i="12"/>
  <c r="S72" i="12"/>
  <c r="S58" i="12"/>
  <c r="W72" i="12"/>
  <c r="AB72" i="12"/>
  <c r="W58" i="12"/>
  <c r="AB58" i="12"/>
  <c r="E66" i="12"/>
  <c r="E52" i="12"/>
  <c r="I66" i="12"/>
  <c r="L66" i="12"/>
  <c r="I52" i="12"/>
  <c r="L52" i="12"/>
  <c r="Q66" i="12"/>
  <c r="Q52" i="12"/>
  <c r="U66" i="12"/>
  <c r="Z66" i="12"/>
  <c r="U52" i="12"/>
  <c r="Z52" i="12"/>
  <c r="AD66" i="12"/>
  <c r="AD52" i="12"/>
  <c r="AH66" i="12"/>
  <c r="AJ66" i="12"/>
  <c r="AH52" i="12"/>
  <c r="AJ52" i="12"/>
  <c r="O75" i="12"/>
  <c r="O61" i="12"/>
  <c r="S75" i="12"/>
  <c r="S61" i="12"/>
  <c r="W75" i="12"/>
  <c r="AB75" i="12"/>
  <c r="W61" i="12"/>
  <c r="AB61" i="12"/>
  <c r="AF42" i="12"/>
  <c r="O70" i="12"/>
  <c r="O56" i="12"/>
  <c r="S70" i="12"/>
  <c r="S56" i="12"/>
  <c r="W70" i="12"/>
  <c r="AB70" i="12"/>
  <c r="W56" i="12"/>
  <c r="AB56" i="12"/>
  <c r="E65" i="12"/>
  <c r="E51" i="12"/>
  <c r="I65" i="12"/>
  <c r="L65" i="12"/>
  <c r="I51" i="12"/>
  <c r="L51" i="12"/>
  <c r="Q65" i="12"/>
  <c r="Q51" i="12"/>
  <c r="U65" i="12"/>
  <c r="Z65" i="12"/>
  <c r="U51" i="12"/>
  <c r="Z51" i="12"/>
  <c r="AD65" i="12"/>
  <c r="AD51" i="12"/>
  <c r="AH65" i="12"/>
  <c r="AJ65" i="12"/>
  <c r="AH51" i="12"/>
  <c r="AJ51" i="12"/>
  <c r="G22" i="12"/>
  <c r="AF22" i="12"/>
  <c r="L49" i="12"/>
  <c r="Z49" i="12"/>
  <c r="AF49" i="12"/>
  <c r="AJ49" i="12"/>
  <c r="O69" i="12"/>
  <c r="O55" i="12"/>
  <c r="S69" i="12"/>
  <c r="S55" i="12"/>
  <c r="W69" i="12"/>
  <c r="AB69" i="12"/>
  <c r="W55" i="12"/>
  <c r="AB55" i="12"/>
  <c r="AF24" i="12"/>
  <c r="E64" i="12"/>
  <c r="E50" i="12"/>
  <c r="I64" i="12"/>
  <c r="I50" i="12"/>
  <c r="L50" i="12"/>
  <c r="Q64" i="12"/>
  <c r="Q50" i="12"/>
  <c r="U64" i="12"/>
  <c r="U50" i="12"/>
  <c r="Z50" i="12"/>
  <c r="AD64" i="12"/>
  <c r="AD50" i="12"/>
  <c r="AH64" i="12"/>
  <c r="AH50" i="12"/>
  <c r="AJ50" i="12"/>
  <c r="G26" i="12"/>
  <c r="AF26" i="12"/>
  <c r="E76" i="12"/>
  <c r="E62" i="12"/>
  <c r="I76" i="12"/>
  <c r="L76" i="12"/>
  <c r="I62" i="12"/>
  <c r="L62" i="12"/>
  <c r="Q76" i="12"/>
  <c r="Q62" i="12"/>
  <c r="U76" i="12"/>
  <c r="Z76" i="12"/>
  <c r="U62" i="12"/>
  <c r="Z62" i="12"/>
  <c r="AD76" i="12"/>
  <c r="AD62" i="12"/>
  <c r="AH76" i="12"/>
  <c r="AJ76" i="12"/>
  <c r="AH62" i="12"/>
  <c r="AJ62" i="12"/>
  <c r="G28" i="12"/>
  <c r="AF28" i="12"/>
  <c r="E71" i="12"/>
  <c r="E57" i="12"/>
  <c r="I71" i="12"/>
  <c r="L71" i="12"/>
  <c r="I57" i="12"/>
  <c r="L57" i="12"/>
  <c r="Q71" i="12"/>
  <c r="Q57" i="12"/>
  <c r="U71" i="12"/>
  <c r="Z71" i="12"/>
  <c r="U57" i="12"/>
  <c r="Z57" i="12"/>
  <c r="AD71" i="12"/>
  <c r="AD57" i="12"/>
  <c r="AH71" i="12"/>
  <c r="AJ71" i="12"/>
  <c r="AH57" i="12"/>
  <c r="AJ57" i="12"/>
  <c r="G30" i="12"/>
  <c r="AF30" i="12"/>
  <c r="S67" i="12"/>
  <c r="S53" i="12"/>
  <c r="S73" i="12"/>
  <c r="S59" i="12"/>
  <c r="O68" i="12"/>
  <c r="O54" i="12"/>
  <c r="E45" i="12"/>
  <c r="Z46" i="12"/>
  <c r="Z45" i="12"/>
  <c r="AF46" i="12"/>
  <c r="AF45" i="12"/>
  <c r="AD45" i="12"/>
  <c r="I74" i="12"/>
  <c r="L74" i="12"/>
  <c r="I60" i="12"/>
  <c r="L60" i="12"/>
  <c r="U74" i="12"/>
  <c r="Z74" i="12"/>
  <c r="U60" i="12"/>
  <c r="Z60" i="12"/>
  <c r="E72" i="12"/>
  <c r="E58" i="12"/>
  <c r="U72" i="12"/>
  <c r="Z72" i="12"/>
  <c r="U58" i="12"/>
  <c r="Z58" i="12"/>
  <c r="O66" i="12"/>
  <c r="O52" i="12"/>
  <c r="W66" i="12"/>
  <c r="AB66" i="12"/>
  <c r="W52" i="12"/>
  <c r="AB52" i="12"/>
  <c r="I75" i="12"/>
  <c r="L75" i="12"/>
  <c r="I61" i="12"/>
  <c r="L61" i="12"/>
  <c r="AD75" i="12"/>
  <c r="AD61" i="12"/>
  <c r="I70" i="12"/>
  <c r="L70" i="12"/>
  <c r="I56" i="12"/>
  <c r="L56" i="12"/>
  <c r="W65" i="12"/>
  <c r="AB65" i="12"/>
  <c r="W51" i="12"/>
  <c r="AB51" i="12"/>
  <c r="E69" i="12"/>
  <c r="E55" i="12"/>
  <c r="Q69" i="12"/>
  <c r="Q55" i="12"/>
  <c r="AH69" i="12"/>
  <c r="AJ69" i="12"/>
  <c r="AH55" i="12"/>
  <c r="AJ55" i="12"/>
  <c r="S64" i="12"/>
  <c r="S50" i="12"/>
  <c r="O76" i="12"/>
  <c r="O62" i="12"/>
  <c r="O71" i="12"/>
  <c r="O57" i="12"/>
  <c r="G38" i="12"/>
  <c r="K38" i="12"/>
  <c r="N38" i="12"/>
  <c r="AI38" i="12"/>
  <c r="AK38" i="12"/>
  <c r="G40" i="12"/>
  <c r="K40" i="12"/>
  <c r="N40" i="12"/>
  <c r="AI40" i="12"/>
  <c r="AK40" i="12"/>
  <c r="F67" i="12"/>
  <c r="F53" i="12"/>
  <c r="J67" i="12"/>
  <c r="M67" i="12"/>
  <c r="J53" i="12"/>
  <c r="M53" i="12"/>
  <c r="R67" i="12"/>
  <c r="R53" i="12"/>
  <c r="V67" i="12"/>
  <c r="AA67" i="12"/>
  <c r="V53" i="12"/>
  <c r="AA53" i="12"/>
  <c r="AE67" i="12"/>
  <c r="AE53" i="12"/>
  <c r="G47" i="12"/>
  <c r="N47" i="12"/>
  <c r="K47" i="12"/>
  <c r="AK47" i="12"/>
  <c r="AI47" i="12"/>
  <c r="F73" i="12"/>
  <c r="F59" i="12"/>
  <c r="J73" i="12"/>
  <c r="M73" i="12"/>
  <c r="J59" i="12"/>
  <c r="M59" i="12"/>
  <c r="R73" i="12"/>
  <c r="R59" i="12"/>
  <c r="V73" i="12"/>
  <c r="AA73" i="12"/>
  <c r="V59" i="12"/>
  <c r="AA59" i="12"/>
  <c r="AE73" i="12"/>
  <c r="AE59" i="12"/>
  <c r="G41" i="12"/>
  <c r="K41" i="12"/>
  <c r="N41" i="12"/>
  <c r="AK41" i="12"/>
  <c r="AI41" i="12"/>
  <c r="F68" i="12"/>
  <c r="F54" i="12"/>
  <c r="J68" i="12"/>
  <c r="M68" i="12"/>
  <c r="J54" i="12"/>
  <c r="M54" i="12"/>
  <c r="R68" i="12"/>
  <c r="R54" i="12"/>
  <c r="V68" i="12"/>
  <c r="AA68" i="12"/>
  <c r="V54" i="12"/>
  <c r="AA54" i="12"/>
  <c r="AE68" i="12"/>
  <c r="AE54" i="12"/>
  <c r="D45" i="12"/>
  <c r="G46" i="12"/>
  <c r="K46" i="12"/>
  <c r="K45" i="12"/>
  <c r="N46" i="12"/>
  <c r="N45" i="12"/>
  <c r="P45" i="12"/>
  <c r="Y46" i="12"/>
  <c r="Y45" i="12"/>
  <c r="AC46" i="12"/>
  <c r="AC45" i="12"/>
  <c r="AI46" i="12"/>
  <c r="AK46" i="12"/>
  <c r="AI45" i="12"/>
  <c r="D74" i="12"/>
  <c r="D60" i="12"/>
  <c r="H74" i="12"/>
  <c r="H60" i="12"/>
  <c r="P74" i="12"/>
  <c r="P60" i="12"/>
  <c r="T74" i="12"/>
  <c r="Y74" i="12"/>
  <c r="T60" i="12"/>
  <c r="Y60" i="12"/>
  <c r="X74" i="12"/>
  <c r="AC74" i="12"/>
  <c r="X60" i="12"/>
  <c r="AC60" i="12"/>
  <c r="AG74" i="12"/>
  <c r="AG60" i="12"/>
  <c r="D72" i="12"/>
  <c r="D58" i="12"/>
  <c r="H72" i="12"/>
  <c r="H58" i="12"/>
  <c r="P72" i="12"/>
  <c r="P58" i="12"/>
  <c r="T72" i="12"/>
  <c r="Y72" i="12"/>
  <c r="T58" i="12"/>
  <c r="Y58" i="12"/>
  <c r="X72" i="12"/>
  <c r="AC72" i="12"/>
  <c r="X58" i="12"/>
  <c r="AC58" i="12"/>
  <c r="AG72" i="12"/>
  <c r="AG58" i="12"/>
  <c r="F66" i="12"/>
  <c r="F52" i="12"/>
  <c r="J66" i="12"/>
  <c r="M66" i="12"/>
  <c r="J52" i="12"/>
  <c r="M52" i="12"/>
  <c r="R66" i="12"/>
  <c r="R52" i="12"/>
  <c r="V66" i="12"/>
  <c r="AA66" i="12"/>
  <c r="V52" i="12"/>
  <c r="AA52" i="12"/>
  <c r="AE66" i="12"/>
  <c r="AE52" i="12"/>
  <c r="D75" i="12"/>
  <c r="D61" i="12"/>
  <c r="H75" i="12"/>
  <c r="H61" i="12"/>
  <c r="P75" i="12"/>
  <c r="P61" i="12"/>
  <c r="T75" i="12"/>
  <c r="Y75" i="12"/>
  <c r="T61" i="12"/>
  <c r="Y61" i="12"/>
  <c r="X75" i="12"/>
  <c r="AC75" i="12"/>
  <c r="X61" i="12"/>
  <c r="AC61" i="12"/>
  <c r="AG75" i="12"/>
  <c r="AG61" i="12"/>
  <c r="D70" i="12"/>
  <c r="D56" i="12"/>
  <c r="H70" i="12"/>
  <c r="H56" i="12"/>
  <c r="P70" i="12"/>
  <c r="P56" i="12"/>
  <c r="T70" i="12"/>
  <c r="Y70" i="12"/>
  <c r="T56" i="12"/>
  <c r="Y56" i="12"/>
  <c r="X70" i="12"/>
  <c r="AC70" i="12"/>
  <c r="X56" i="12"/>
  <c r="AC56" i="12"/>
  <c r="AG70" i="12"/>
  <c r="AG56" i="12"/>
  <c r="F65" i="12"/>
  <c r="F51" i="12"/>
  <c r="J65" i="12"/>
  <c r="M65" i="12"/>
  <c r="J51" i="12"/>
  <c r="M51" i="12"/>
  <c r="R65" i="12"/>
  <c r="R51" i="12"/>
  <c r="V65" i="12"/>
  <c r="AA65" i="12"/>
  <c r="V51" i="12"/>
  <c r="AA51" i="12"/>
  <c r="AE65" i="12"/>
  <c r="AE51" i="12"/>
  <c r="G37" i="12"/>
  <c r="K37" i="12"/>
  <c r="N37" i="12"/>
  <c r="AK37" i="12"/>
  <c r="AI37" i="12"/>
  <c r="M49" i="12"/>
  <c r="AA49" i="12"/>
  <c r="D69" i="12"/>
  <c r="D55" i="12"/>
  <c r="H69" i="12"/>
  <c r="H55" i="12"/>
  <c r="P69" i="12"/>
  <c r="P55" i="12"/>
  <c r="T69" i="12"/>
  <c r="Y69" i="12"/>
  <c r="T55" i="12"/>
  <c r="Y55" i="12"/>
  <c r="X69" i="12"/>
  <c r="AC69" i="12"/>
  <c r="X55" i="12"/>
  <c r="AC55" i="12"/>
  <c r="AG69" i="12"/>
  <c r="AG55" i="12"/>
  <c r="F64" i="12"/>
  <c r="F50" i="12"/>
  <c r="J64" i="12"/>
  <c r="J50" i="12"/>
  <c r="M50" i="12"/>
  <c r="R64" i="12"/>
  <c r="R50" i="12"/>
  <c r="V64" i="12"/>
  <c r="V50" i="12"/>
  <c r="AA50" i="12"/>
  <c r="AE64" i="12"/>
  <c r="AE50" i="12"/>
  <c r="G36" i="12"/>
  <c r="K36" i="12"/>
  <c r="N36" i="12"/>
  <c r="AI36" i="12"/>
  <c r="AK36" i="12"/>
  <c r="F76" i="12"/>
  <c r="F62" i="12"/>
  <c r="J76" i="12"/>
  <c r="M76" i="12"/>
  <c r="J62" i="12"/>
  <c r="M62" i="12"/>
  <c r="R76" i="12"/>
  <c r="R62" i="12"/>
  <c r="V76" i="12"/>
  <c r="AA76" i="12"/>
  <c r="V62" i="12"/>
  <c r="AA62" i="12"/>
  <c r="AE76" i="12"/>
  <c r="AE62" i="12"/>
  <c r="G43" i="12"/>
  <c r="K43" i="12"/>
  <c r="N43" i="12"/>
  <c r="AK43" i="12"/>
  <c r="AI43" i="12"/>
  <c r="F71" i="12"/>
  <c r="F57" i="12"/>
  <c r="J71" i="12"/>
  <c r="M71" i="12"/>
  <c r="J57" i="12"/>
  <c r="M57" i="12"/>
  <c r="R71" i="12"/>
  <c r="R57" i="12"/>
  <c r="V71" i="12"/>
  <c r="AA71" i="12"/>
  <c r="V57" i="12"/>
  <c r="AA57" i="12"/>
  <c r="AE71" i="12"/>
  <c r="AE57" i="12"/>
  <c r="W67" i="12"/>
  <c r="AB67" i="12"/>
  <c r="W53" i="12"/>
  <c r="AB53" i="12"/>
  <c r="O73" i="12"/>
  <c r="O59" i="12"/>
  <c r="W68" i="12"/>
  <c r="AB68" i="12"/>
  <c r="W54" i="12"/>
  <c r="AB54" i="12"/>
  <c r="L46" i="12"/>
  <c r="L45" i="12"/>
  <c r="AJ46" i="12"/>
  <c r="AJ45" i="12"/>
  <c r="E74" i="12"/>
  <c r="E60" i="12"/>
  <c r="AD74" i="12"/>
  <c r="AD60" i="12"/>
  <c r="I72" i="12"/>
  <c r="L72" i="12"/>
  <c r="I58" i="12"/>
  <c r="L58" i="12"/>
  <c r="AD72" i="12"/>
  <c r="AD58" i="12"/>
  <c r="E75" i="12"/>
  <c r="E61" i="12"/>
  <c r="U75" i="12"/>
  <c r="Z75" i="12"/>
  <c r="U61" i="12"/>
  <c r="Z61" i="12"/>
  <c r="AH75" i="12"/>
  <c r="AJ75" i="12"/>
  <c r="AH61" i="12"/>
  <c r="AJ61" i="12"/>
  <c r="Q70" i="12"/>
  <c r="Q56" i="12"/>
  <c r="AD70" i="12"/>
  <c r="AD56" i="12"/>
  <c r="O65" i="12"/>
  <c r="O51" i="12"/>
  <c r="AB49" i="12"/>
  <c r="U69" i="12"/>
  <c r="Z69" i="12"/>
  <c r="U55" i="12"/>
  <c r="Z55" i="12"/>
  <c r="W64" i="12"/>
  <c r="W50" i="12"/>
  <c r="AB50" i="12"/>
  <c r="W76" i="12"/>
  <c r="AB76" i="12"/>
  <c r="W62" i="12"/>
  <c r="AB62" i="12"/>
  <c r="S71" i="12"/>
  <c r="S57" i="12"/>
  <c r="W71" i="12"/>
  <c r="AB71" i="12"/>
  <c r="W57" i="12"/>
  <c r="AB57" i="12"/>
  <c r="D67" i="12"/>
  <c r="D53" i="12"/>
  <c r="H67" i="12"/>
  <c r="H53" i="12"/>
  <c r="P67" i="12"/>
  <c r="P53" i="12"/>
  <c r="T67" i="12"/>
  <c r="Y67" i="12"/>
  <c r="T53" i="12"/>
  <c r="Y53" i="12"/>
  <c r="X67" i="12"/>
  <c r="AC67" i="12"/>
  <c r="X53" i="12"/>
  <c r="AC53" i="12"/>
  <c r="AG67" i="12"/>
  <c r="AG53" i="12"/>
  <c r="D73" i="12"/>
  <c r="D59" i="12"/>
  <c r="H73" i="12"/>
  <c r="H59" i="12"/>
  <c r="P73" i="12"/>
  <c r="P59" i="12"/>
  <c r="T73" i="12"/>
  <c r="Y73" i="12"/>
  <c r="T59" i="12"/>
  <c r="Y59" i="12"/>
  <c r="X73" i="12"/>
  <c r="AC73" i="12"/>
  <c r="X59" i="12"/>
  <c r="AC59" i="12"/>
  <c r="AG73" i="12"/>
  <c r="AG59" i="12"/>
  <c r="D68" i="12"/>
  <c r="G68" i="12"/>
  <c r="D54" i="12"/>
  <c r="H68" i="12"/>
  <c r="H54" i="12"/>
  <c r="P68" i="12"/>
  <c r="P54" i="12"/>
  <c r="T68" i="12"/>
  <c r="Y68" i="12"/>
  <c r="T54" i="12"/>
  <c r="Y54" i="12"/>
  <c r="X68" i="12"/>
  <c r="AC68" i="12"/>
  <c r="X54" i="12"/>
  <c r="AC54" i="12"/>
  <c r="AG68" i="12"/>
  <c r="AG54" i="12"/>
  <c r="F45" i="12"/>
  <c r="M46" i="12"/>
  <c r="M45" i="12"/>
  <c r="R45" i="12"/>
  <c r="AA46" i="12"/>
  <c r="AA45" i="12"/>
  <c r="AE45" i="12"/>
  <c r="G39" i="12"/>
  <c r="K39" i="12"/>
  <c r="N39" i="12"/>
  <c r="AK39" i="12"/>
  <c r="AI39" i="12"/>
  <c r="F74" i="12"/>
  <c r="F60" i="12"/>
  <c r="J74" i="12"/>
  <c r="M74" i="12"/>
  <c r="J60" i="12"/>
  <c r="M60" i="12"/>
  <c r="R74" i="12"/>
  <c r="R60" i="12"/>
  <c r="V74" i="12"/>
  <c r="AA74" i="12"/>
  <c r="V60" i="12"/>
  <c r="AA60" i="12"/>
  <c r="AE74" i="12"/>
  <c r="AE60" i="12"/>
  <c r="G44" i="12"/>
  <c r="K44" i="12"/>
  <c r="N44" i="12"/>
  <c r="AI44" i="12"/>
  <c r="AK44" i="12"/>
  <c r="F72" i="12"/>
  <c r="F58" i="12"/>
  <c r="J72" i="12"/>
  <c r="M72" i="12"/>
  <c r="J58" i="12"/>
  <c r="M58" i="12"/>
  <c r="R72" i="12"/>
  <c r="R58" i="12"/>
  <c r="V72" i="12"/>
  <c r="AA72" i="12"/>
  <c r="V58" i="12"/>
  <c r="AA58" i="12"/>
  <c r="AE72" i="12"/>
  <c r="AE58" i="12"/>
  <c r="D66" i="12"/>
  <c r="D52" i="12"/>
  <c r="H66" i="12"/>
  <c r="H52" i="12"/>
  <c r="P66" i="12"/>
  <c r="P52" i="12"/>
  <c r="T66" i="12"/>
  <c r="Y66" i="12"/>
  <c r="T52" i="12"/>
  <c r="Y52" i="12"/>
  <c r="X66" i="12"/>
  <c r="AC66" i="12"/>
  <c r="X52" i="12"/>
  <c r="AC52" i="12"/>
  <c r="AG66" i="12"/>
  <c r="AG52" i="12"/>
  <c r="F75" i="12"/>
  <c r="F61" i="12"/>
  <c r="J75" i="12"/>
  <c r="M75" i="12"/>
  <c r="J61" i="12"/>
  <c r="M61" i="12"/>
  <c r="R75" i="12"/>
  <c r="R61" i="12"/>
  <c r="V75" i="12"/>
  <c r="AA75" i="12"/>
  <c r="V61" i="12"/>
  <c r="AA61" i="12"/>
  <c r="AE75" i="12"/>
  <c r="AE61" i="12"/>
  <c r="G42" i="12"/>
  <c r="K42" i="12"/>
  <c r="N42" i="12"/>
  <c r="AI42" i="12"/>
  <c r="AK42" i="12"/>
  <c r="F70" i="12"/>
  <c r="F56" i="12"/>
  <c r="J70" i="12"/>
  <c r="M70" i="12"/>
  <c r="J56" i="12"/>
  <c r="M56" i="12"/>
  <c r="R70" i="12"/>
  <c r="R56" i="12"/>
  <c r="V70" i="12"/>
  <c r="AA70" i="12"/>
  <c r="V56" i="12"/>
  <c r="AA56" i="12"/>
  <c r="AE70" i="12"/>
  <c r="AE56" i="12"/>
  <c r="D65" i="12"/>
  <c r="D51" i="12"/>
  <c r="G51" i="12"/>
  <c r="H65" i="12"/>
  <c r="H51" i="12"/>
  <c r="P65" i="12"/>
  <c r="P51" i="12"/>
  <c r="T65" i="12"/>
  <c r="Y65" i="12"/>
  <c r="T51" i="12"/>
  <c r="Y51" i="12"/>
  <c r="X65" i="12"/>
  <c r="AC65" i="12"/>
  <c r="X51" i="12"/>
  <c r="AC51" i="12"/>
  <c r="AG65" i="12"/>
  <c r="AG51" i="12"/>
  <c r="G49" i="12"/>
  <c r="K49" i="12"/>
  <c r="N49" i="12"/>
  <c r="Y49" i="12"/>
  <c r="AC49" i="12"/>
  <c r="AI49" i="12"/>
  <c r="AK49" i="12"/>
  <c r="F69" i="12"/>
  <c r="F55" i="12"/>
  <c r="J69" i="12"/>
  <c r="M69" i="12"/>
  <c r="J55" i="12"/>
  <c r="M55" i="12"/>
  <c r="R69" i="12"/>
  <c r="R55" i="12"/>
  <c r="V69" i="12"/>
  <c r="AA69" i="12"/>
  <c r="V55" i="12"/>
  <c r="AA55" i="12"/>
  <c r="AE69" i="12"/>
  <c r="AE55" i="12"/>
  <c r="D64" i="12"/>
  <c r="G64" i="12"/>
  <c r="D50" i="12"/>
  <c r="H64" i="12"/>
  <c r="H50" i="12"/>
  <c r="P64" i="12"/>
  <c r="P50" i="12"/>
  <c r="T64" i="12"/>
  <c r="T50" i="12"/>
  <c r="Y50" i="12"/>
  <c r="X64" i="12"/>
  <c r="X50" i="12"/>
  <c r="AC50" i="12"/>
  <c r="AG64" i="12"/>
  <c r="AG50" i="12"/>
  <c r="D76" i="12"/>
  <c r="D62" i="12"/>
  <c r="H76" i="12"/>
  <c r="H62" i="12"/>
  <c r="P76" i="12"/>
  <c r="P62" i="12"/>
  <c r="T76" i="12"/>
  <c r="Y76" i="12"/>
  <c r="T62" i="12"/>
  <c r="Y62" i="12"/>
  <c r="X76" i="12"/>
  <c r="AC76" i="12"/>
  <c r="X62" i="12"/>
  <c r="AC62" i="12"/>
  <c r="AG76" i="12"/>
  <c r="AG62" i="12"/>
  <c r="D71" i="12"/>
  <c r="D57" i="12"/>
  <c r="H71" i="12"/>
  <c r="H57" i="12"/>
  <c r="P71" i="12"/>
  <c r="P57" i="12"/>
  <c r="T71" i="12"/>
  <c r="Y71" i="12"/>
  <c r="T57" i="12"/>
  <c r="Y57" i="12"/>
  <c r="X71" i="12"/>
  <c r="AC71" i="12"/>
  <c r="X57" i="12"/>
  <c r="AC57" i="12"/>
  <c r="AG71" i="12"/>
  <c r="AG57" i="12"/>
  <c r="D31" i="10"/>
  <c r="G32" i="10"/>
  <c r="K31" i="10"/>
  <c r="K32" i="10"/>
  <c r="N31" i="10"/>
  <c r="N32" i="10"/>
  <c r="P31" i="10"/>
  <c r="Y32" i="10"/>
  <c r="Y31" i="10"/>
  <c r="AC32" i="10"/>
  <c r="AC31" i="10"/>
  <c r="AI32" i="10"/>
  <c r="AK31" i="10"/>
  <c r="AK32" i="10"/>
  <c r="AI31" i="10"/>
  <c r="L32" i="10"/>
  <c r="L31" i="10"/>
  <c r="Z32" i="10"/>
  <c r="Z31" i="10"/>
  <c r="AF32" i="10"/>
  <c r="AD31" i="10"/>
  <c r="AJ32" i="10"/>
  <c r="AJ31" i="10"/>
  <c r="M31" i="10"/>
  <c r="M32" i="10"/>
  <c r="AA32" i="10"/>
  <c r="AA31" i="10"/>
  <c r="N33" i="10"/>
  <c r="K33" i="10"/>
  <c r="AB32" i="10"/>
  <c r="AB31" i="10"/>
  <c r="G2" i="10"/>
  <c r="AF2" i="10"/>
  <c r="G4" i="10"/>
  <c r="AF4" i="10"/>
  <c r="E67" i="10"/>
  <c r="E53" i="10"/>
  <c r="I67" i="10"/>
  <c r="L67" i="10"/>
  <c r="I53" i="10"/>
  <c r="L53" i="10"/>
  <c r="Q67" i="10"/>
  <c r="Q53" i="10"/>
  <c r="U67" i="10"/>
  <c r="Z67" i="10"/>
  <c r="U53" i="10"/>
  <c r="Z53" i="10"/>
  <c r="AD67" i="10"/>
  <c r="AD53" i="10"/>
  <c r="AH67" i="10"/>
  <c r="AJ67" i="10"/>
  <c r="AH53" i="10"/>
  <c r="AJ53" i="10"/>
  <c r="G6" i="10"/>
  <c r="AF6" i="10"/>
  <c r="E59" i="10"/>
  <c r="I73" i="10"/>
  <c r="L73" i="10"/>
  <c r="I59" i="10"/>
  <c r="L59" i="10"/>
  <c r="Q73" i="10"/>
  <c r="Q59" i="10"/>
  <c r="U73" i="10"/>
  <c r="Z73" i="10"/>
  <c r="U59" i="10"/>
  <c r="Z59" i="10"/>
  <c r="AD73" i="10"/>
  <c r="AD59" i="10"/>
  <c r="AH73" i="10"/>
  <c r="AJ73" i="10"/>
  <c r="AH59" i="10"/>
  <c r="AJ59" i="10"/>
  <c r="G8" i="10"/>
  <c r="AF8" i="10"/>
  <c r="E54" i="10"/>
  <c r="I68" i="10"/>
  <c r="L68" i="10"/>
  <c r="I54" i="10"/>
  <c r="L54" i="10"/>
  <c r="Q68" i="10"/>
  <c r="Q54" i="10"/>
  <c r="U68" i="10"/>
  <c r="Z68" i="10"/>
  <c r="U54" i="10"/>
  <c r="Z54" i="10"/>
  <c r="AD54" i="10"/>
  <c r="AD68" i="10"/>
  <c r="AH68" i="10"/>
  <c r="AJ68" i="10"/>
  <c r="AH54" i="10"/>
  <c r="AJ54" i="10"/>
  <c r="G10" i="10"/>
  <c r="O45" i="10"/>
  <c r="S45" i="10"/>
  <c r="AB46" i="10"/>
  <c r="AB45" i="10"/>
  <c r="AF10" i="10"/>
  <c r="AF39" i="10"/>
  <c r="O74" i="10"/>
  <c r="O60" i="10"/>
  <c r="S74" i="10"/>
  <c r="S60" i="10"/>
  <c r="W74" i="10"/>
  <c r="AB74" i="10"/>
  <c r="W60" i="10"/>
  <c r="AB60" i="10"/>
  <c r="AF33" i="10"/>
  <c r="G14" i="10"/>
  <c r="AF14" i="10"/>
  <c r="AF44" i="10"/>
  <c r="O72" i="10"/>
  <c r="O58" i="10"/>
  <c r="S72" i="10"/>
  <c r="S58" i="10"/>
  <c r="W72" i="10"/>
  <c r="AB72" i="10"/>
  <c r="W58" i="10"/>
  <c r="AB58" i="10"/>
  <c r="E52" i="10"/>
  <c r="I66" i="10"/>
  <c r="L66" i="10"/>
  <c r="I52" i="10"/>
  <c r="L52" i="10"/>
  <c r="Q66" i="10"/>
  <c r="Q52" i="10"/>
  <c r="U66" i="10"/>
  <c r="Z66" i="10"/>
  <c r="U52" i="10"/>
  <c r="Z52" i="10"/>
  <c r="AD66" i="10"/>
  <c r="AD52" i="10"/>
  <c r="AH66" i="10"/>
  <c r="AJ66" i="10"/>
  <c r="AH52" i="10"/>
  <c r="AJ52" i="10"/>
  <c r="O75" i="10"/>
  <c r="O61" i="10"/>
  <c r="S75" i="10"/>
  <c r="S61" i="10"/>
  <c r="W75" i="10"/>
  <c r="AB75" i="10"/>
  <c r="W61" i="10"/>
  <c r="AB61" i="10"/>
  <c r="AF42" i="10"/>
  <c r="O70" i="10"/>
  <c r="O56" i="10"/>
  <c r="S70" i="10"/>
  <c r="S56" i="10"/>
  <c r="W70" i="10"/>
  <c r="AB70" i="10"/>
  <c r="W56" i="10"/>
  <c r="AB56" i="10"/>
  <c r="E51" i="10"/>
  <c r="I65" i="10"/>
  <c r="L65" i="10"/>
  <c r="I51" i="10"/>
  <c r="L51" i="10"/>
  <c r="Q65" i="10"/>
  <c r="Q51" i="10"/>
  <c r="U65" i="10"/>
  <c r="Z65" i="10"/>
  <c r="U51" i="10"/>
  <c r="Z51" i="10"/>
  <c r="AD65" i="10"/>
  <c r="AD51" i="10"/>
  <c r="AH65" i="10"/>
  <c r="AJ65" i="10"/>
  <c r="AH51" i="10"/>
  <c r="AJ51" i="10"/>
  <c r="G22" i="10"/>
  <c r="AF22" i="10"/>
  <c r="L49" i="10"/>
  <c r="Z49" i="10"/>
  <c r="AF49" i="10"/>
  <c r="AJ49" i="10"/>
  <c r="O69" i="10"/>
  <c r="O55" i="10"/>
  <c r="S69" i="10"/>
  <c r="S55" i="10"/>
  <c r="W69" i="10"/>
  <c r="AB69" i="10"/>
  <c r="W55" i="10"/>
  <c r="AB55" i="10"/>
  <c r="E50" i="10"/>
  <c r="I64" i="10"/>
  <c r="I50" i="10"/>
  <c r="L50" i="10"/>
  <c r="Q64" i="10"/>
  <c r="Q50" i="10"/>
  <c r="U64" i="10"/>
  <c r="U50" i="10"/>
  <c r="Z50" i="10"/>
  <c r="AD64" i="10"/>
  <c r="AD50" i="10"/>
  <c r="AH64" i="10"/>
  <c r="AH50" i="10"/>
  <c r="AJ50" i="10"/>
  <c r="G26" i="10"/>
  <c r="AF26" i="10"/>
  <c r="E76" i="10"/>
  <c r="E62" i="10"/>
  <c r="I76" i="10"/>
  <c r="L76" i="10"/>
  <c r="I62" i="10"/>
  <c r="L62" i="10"/>
  <c r="Q76" i="10"/>
  <c r="Q62" i="10"/>
  <c r="U76" i="10"/>
  <c r="Z76" i="10"/>
  <c r="U62" i="10"/>
  <c r="Z62" i="10"/>
  <c r="AD76" i="10"/>
  <c r="AD62" i="10"/>
  <c r="AH76" i="10"/>
  <c r="AJ76" i="10"/>
  <c r="AH62" i="10"/>
  <c r="AJ62" i="10"/>
  <c r="G28" i="10"/>
  <c r="AF28" i="10"/>
  <c r="E71" i="10"/>
  <c r="E57" i="10"/>
  <c r="I71" i="10"/>
  <c r="L71" i="10"/>
  <c r="I57" i="10"/>
  <c r="L57" i="10"/>
  <c r="Q71" i="10"/>
  <c r="Q57" i="10"/>
  <c r="U71" i="10"/>
  <c r="Z71" i="10"/>
  <c r="U57" i="10"/>
  <c r="Z57" i="10"/>
  <c r="AD71" i="10"/>
  <c r="AD57" i="10"/>
  <c r="AH71" i="10"/>
  <c r="AJ71" i="10"/>
  <c r="AH57" i="10"/>
  <c r="AJ57" i="10"/>
  <c r="G30" i="10"/>
  <c r="AF30" i="10"/>
  <c r="G38" i="10"/>
  <c r="K38" i="10"/>
  <c r="N38" i="10"/>
  <c r="AK38" i="10"/>
  <c r="AI38" i="10"/>
  <c r="G40" i="10"/>
  <c r="K40" i="10"/>
  <c r="N40" i="10"/>
  <c r="AK40" i="10"/>
  <c r="AI40" i="10"/>
  <c r="F67" i="10"/>
  <c r="F53" i="10"/>
  <c r="J67" i="10"/>
  <c r="M67" i="10"/>
  <c r="J53" i="10"/>
  <c r="M53" i="10"/>
  <c r="R67" i="10"/>
  <c r="R53" i="10"/>
  <c r="V67" i="10"/>
  <c r="AA67" i="10"/>
  <c r="V53" i="10"/>
  <c r="AA53" i="10"/>
  <c r="AE67" i="10"/>
  <c r="AE53" i="10"/>
  <c r="G47" i="10"/>
  <c r="K47" i="10"/>
  <c r="N47" i="10"/>
  <c r="AK47" i="10"/>
  <c r="AI47" i="10"/>
  <c r="F73" i="10"/>
  <c r="F59" i="10"/>
  <c r="J73" i="10"/>
  <c r="M73" i="10"/>
  <c r="J59" i="10"/>
  <c r="M59" i="10"/>
  <c r="R73" i="10"/>
  <c r="R59" i="10"/>
  <c r="V73" i="10"/>
  <c r="AA73" i="10"/>
  <c r="V59" i="10"/>
  <c r="AA59" i="10"/>
  <c r="AE73" i="10"/>
  <c r="AE59" i="10"/>
  <c r="G41" i="10"/>
  <c r="K41" i="10"/>
  <c r="N41" i="10"/>
  <c r="AI41" i="10"/>
  <c r="AK41" i="10"/>
  <c r="F68" i="10"/>
  <c r="F54" i="10"/>
  <c r="J68" i="10"/>
  <c r="M68" i="10"/>
  <c r="J54" i="10"/>
  <c r="M54" i="10"/>
  <c r="R68" i="10"/>
  <c r="R54" i="10"/>
  <c r="V68" i="10"/>
  <c r="AA68" i="10"/>
  <c r="V54" i="10"/>
  <c r="AA54" i="10"/>
  <c r="AE68" i="10"/>
  <c r="AE54" i="10"/>
  <c r="G46" i="10"/>
  <c r="D45" i="10"/>
  <c r="K46" i="10"/>
  <c r="N45" i="10"/>
  <c r="N46" i="10"/>
  <c r="K45" i="10"/>
  <c r="P45" i="10"/>
  <c r="Y46" i="10"/>
  <c r="Y45" i="10"/>
  <c r="AC46" i="10"/>
  <c r="AC45" i="10"/>
  <c r="AI46" i="10"/>
  <c r="AK46" i="10"/>
  <c r="AI45" i="10"/>
  <c r="D74" i="10"/>
  <c r="D60" i="10"/>
  <c r="H74" i="10"/>
  <c r="H60" i="10"/>
  <c r="P74" i="10"/>
  <c r="P60" i="10"/>
  <c r="T74" i="10"/>
  <c r="Y74" i="10"/>
  <c r="T60" i="10"/>
  <c r="Y60" i="10"/>
  <c r="X74" i="10"/>
  <c r="AC74" i="10"/>
  <c r="X60" i="10"/>
  <c r="AC60" i="10"/>
  <c r="AG74" i="10"/>
  <c r="AG60" i="10"/>
  <c r="G34" i="10"/>
  <c r="K34" i="10"/>
  <c r="N34" i="10"/>
  <c r="AK34" i="10"/>
  <c r="AI34" i="10"/>
  <c r="D72" i="10"/>
  <c r="D58" i="10"/>
  <c r="H72" i="10"/>
  <c r="H58" i="10"/>
  <c r="P72" i="10"/>
  <c r="P58" i="10"/>
  <c r="T72" i="10"/>
  <c r="Y72" i="10"/>
  <c r="T58" i="10"/>
  <c r="Y58" i="10"/>
  <c r="X72" i="10"/>
  <c r="AC72" i="10"/>
  <c r="X58" i="10"/>
  <c r="AC58" i="10"/>
  <c r="AG72" i="10"/>
  <c r="AG58" i="10"/>
  <c r="F66" i="10"/>
  <c r="F52" i="10"/>
  <c r="J66" i="10"/>
  <c r="M66" i="10"/>
  <c r="J52" i="10"/>
  <c r="M52" i="10"/>
  <c r="R66" i="10"/>
  <c r="R52" i="10"/>
  <c r="V66" i="10"/>
  <c r="AA66" i="10"/>
  <c r="V52" i="10"/>
  <c r="AA52" i="10"/>
  <c r="AE66" i="10"/>
  <c r="AE52" i="10"/>
  <c r="D75" i="10"/>
  <c r="D61" i="10"/>
  <c r="H75" i="10"/>
  <c r="H61" i="10"/>
  <c r="P61" i="10"/>
  <c r="P75" i="10"/>
  <c r="T61" i="10"/>
  <c r="Y61" i="10"/>
  <c r="T75" i="10"/>
  <c r="Y75" i="10"/>
  <c r="X75" i="10"/>
  <c r="AC75" i="10"/>
  <c r="X61" i="10"/>
  <c r="AC61" i="10"/>
  <c r="AG75" i="10"/>
  <c r="AG61" i="10"/>
  <c r="D70" i="10"/>
  <c r="D56" i="10"/>
  <c r="H70" i="10"/>
  <c r="H56" i="10"/>
  <c r="P70" i="10"/>
  <c r="P56" i="10"/>
  <c r="T70" i="10"/>
  <c r="Y70" i="10"/>
  <c r="T56" i="10"/>
  <c r="Y56" i="10"/>
  <c r="X70" i="10"/>
  <c r="AC70" i="10"/>
  <c r="X56" i="10"/>
  <c r="AC56" i="10"/>
  <c r="AG70" i="10"/>
  <c r="AG56" i="10"/>
  <c r="F65" i="10"/>
  <c r="F51" i="10"/>
  <c r="J65" i="10"/>
  <c r="M65" i="10"/>
  <c r="J51" i="10"/>
  <c r="M51" i="10"/>
  <c r="R65" i="10"/>
  <c r="R51" i="10"/>
  <c r="V65" i="10"/>
  <c r="AA65" i="10"/>
  <c r="V51" i="10"/>
  <c r="AA51" i="10"/>
  <c r="AE65" i="10"/>
  <c r="AE51" i="10"/>
  <c r="G37" i="10"/>
  <c r="K37" i="10"/>
  <c r="N37" i="10"/>
  <c r="AI37" i="10"/>
  <c r="AK37" i="10"/>
  <c r="M49" i="10"/>
  <c r="AA49" i="10"/>
  <c r="D69" i="10"/>
  <c r="D55" i="10"/>
  <c r="H69" i="10"/>
  <c r="H55" i="10"/>
  <c r="P69" i="10"/>
  <c r="P55" i="10"/>
  <c r="T69" i="10"/>
  <c r="Y69" i="10"/>
  <c r="T55" i="10"/>
  <c r="Y55" i="10"/>
  <c r="X69" i="10"/>
  <c r="AC69" i="10"/>
  <c r="X55" i="10"/>
  <c r="AC55" i="10"/>
  <c r="AG69" i="10"/>
  <c r="AG55" i="10"/>
  <c r="F64" i="10"/>
  <c r="F50" i="10"/>
  <c r="J64" i="10"/>
  <c r="J50" i="10"/>
  <c r="M50" i="10"/>
  <c r="R64" i="10"/>
  <c r="R50" i="10"/>
  <c r="V64" i="10"/>
  <c r="V50" i="10"/>
  <c r="AA50" i="10"/>
  <c r="AE64" i="10"/>
  <c r="AE50" i="10"/>
  <c r="G36" i="10"/>
  <c r="K36" i="10"/>
  <c r="N36" i="10"/>
  <c r="AK36" i="10"/>
  <c r="AI36" i="10"/>
  <c r="F76" i="10"/>
  <c r="F62" i="10"/>
  <c r="J76" i="10"/>
  <c r="M76" i="10"/>
  <c r="J62" i="10"/>
  <c r="M62" i="10"/>
  <c r="R62" i="10"/>
  <c r="R76" i="10"/>
  <c r="V76" i="10"/>
  <c r="AA76" i="10"/>
  <c r="V62" i="10"/>
  <c r="AA62" i="10"/>
  <c r="AE76" i="10"/>
  <c r="AE62" i="10"/>
  <c r="G43" i="10"/>
  <c r="K43" i="10"/>
  <c r="N43" i="10"/>
  <c r="AI43" i="10"/>
  <c r="AK43" i="10"/>
  <c r="F71" i="10"/>
  <c r="F57" i="10"/>
  <c r="J71" i="10"/>
  <c r="M71" i="10"/>
  <c r="J57" i="10"/>
  <c r="M57" i="10"/>
  <c r="R71" i="10"/>
  <c r="R57" i="10"/>
  <c r="V71" i="10"/>
  <c r="AA71" i="10"/>
  <c r="V57" i="10"/>
  <c r="AA57" i="10"/>
  <c r="AE71" i="10"/>
  <c r="AE57" i="10"/>
  <c r="G35" i="10"/>
  <c r="K35" i="10"/>
  <c r="N35" i="10"/>
  <c r="AI35" i="10"/>
  <c r="AK35" i="10"/>
  <c r="O67" i="10"/>
  <c r="O53" i="10"/>
  <c r="S67" i="10"/>
  <c r="S53" i="10"/>
  <c r="W67" i="10"/>
  <c r="AB67" i="10"/>
  <c r="W53" i="10"/>
  <c r="AB53" i="10"/>
  <c r="O73" i="10"/>
  <c r="O59" i="10"/>
  <c r="S73" i="10"/>
  <c r="S59" i="10"/>
  <c r="W73" i="10"/>
  <c r="AB73" i="10"/>
  <c r="W59" i="10"/>
  <c r="AB59" i="10"/>
  <c r="O68" i="10"/>
  <c r="O54" i="10"/>
  <c r="S68" i="10"/>
  <c r="S54" i="10"/>
  <c r="W68" i="10"/>
  <c r="AB68" i="10"/>
  <c r="W54" i="10"/>
  <c r="AB54" i="10"/>
  <c r="E45" i="10"/>
  <c r="L45" i="10"/>
  <c r="L46" i="10"/>
  <c r="Q45" i="10"/>
  <c r="Z46" i="10"/>
  <c r="Z45" i="10"/>
  <c r="AD45" i="10"/>
  <c r="AF46" i="10"/>
  <c r="AF45" i="10"/>
  <c r="AJ45" i="10"/>
  <c r="AJ46" i="10"/>
  <c r="E74" i="10"/>
  <c r="E60" i="10"/>
  <c r="I74" i="10"/>
  <c r="L74" i="10"/>
  <c r="I60" i="10"/>
  <c r="L60" i="10"/>
  <c r="Q74" i="10"/>
  <c r="Q60" i="10"/>
  <c r="U74" i="10"/>
  <c r="Z74" i="10"/>
  <c r="U60" i="10"/>
  <c r="Z60" i="10"/>
  <c r="AD74" i="10"/>
  <c r="AD60" i="10"/>
  <c r="AH74" i="10"/>
  <c r="AJ74" i="10"/>
  <c r="AH60" i="10"/>
  <c r="AJ60" i="10"/>
  <c r="E58" i="10"/>
  <c r="I72" i="10"/>
  <c r="L72" i="10"/>
  <c r="I58" i="10"/>
  <c r="L58" i="10"/>
  <c r="Q72" i="10"/>
  <c r="Q58" i="10"/>
  <c r="U72" i="10"/>
  <c r="Z72" i="10"/>
  <c r="U58" i="10"/>
  <c r="Z58" i="10"/>
  <c r="AD72" i="10"/>
  <c r="AD58" i="10"/>
  <c r="AH72" i="10"/>
  <c r="AJ72" i="10"/>
  <c r="AH58" i="10"/>
  <c r="AJ58" i="10"/>
  <c r="O66" i="10"/>
  <c r="O52" i="10"/>
  <c r="S66" i="10"/>
  <c r="S52" i="10"/>
  <c r="W66" i="10"/>
  <c r="AB66" i="10"/>
  <c r="W52" i="10"/>
  <c r="AB52" i="10"/>
  <c r="E61" i="10"/>
  <c r="I75" i="10"/>
  <c r="L75" i="10"/>
  <c r="I61" i="10"/>
  <c r="L61" i="10"/>
  <c r="Q75" i="10"/>
  <c r="Q61" i="10"/>
  <c r="U75" i="10"/>
  <c r="Z75" i="10"/>
  <c r="U61" i="10"/>
  <c r="Z61" i="10"/>
  <c r="AD75" i="10"/>
  <c r="AD61" i="10"/>
  <c r="AH75" i="10"/>
  <c r="AJ75" i="10"/>
  <c r="AH61" i="10"/>
  <c r="AJ61" i="10"/>
  <c r="E70" i="10"/>
  <c r="E56" i="10"/>
  <c r="I70" i="10"/>
  <c r="L70" i="10"/>
  <c r="I56" i="10"/>
  <c r="L56" i="10"/>
  <c r="Q70" i="10"/>
  <c r="Q56" i="10"/>
  <c r="U70" i="10"/>
  <c r="Z70" i="10"/>
  <c r="U56" i="10"/>
  <c r="Z56" i="10"/>
  <c r="AD70" i="10"/>
  <c r="AD56" i="10"/>
  <c r="AH70" i="10"/>
  <c r="AJ70" i="10"/>
  <c r="AH56" i="10"/>
  <c r="AJ56" i="10"/>
  <c r="O65" i="10"/>
  <c r="O51" i="10"/>
  <c r="S65" i="10"/>
  <c r="S51" i="10"/>
  <c r="W65" i="10"/>
  <c r="AB65" i="10"/>
  <c r="W51" i="10"/>
  <c r="AB51" i="10"/>
  <c r="AB49" i="10"/>
  <c r="E69" i="10"/>
  <c r="E55" i="10"/>
  <c r="I69" i="10"/>
  <c r="L69" i="10"/>
  <c r="I55" i="10"/>
  <c r="L55" i="10"/>
  <c r="Q69" i="10"/>
  <c r="Q55" i="10"/>
  <c r="U69" i="10"/>
  <c r="Z69" i="10"/>
  <c r="U55" i="10"/>
  <c r="Z55" i="10"/>
  <c r="AD69" i="10"/>
  <c r="AD55" i="10"/>
  <c r="AH69" i="10"/>
  <c r="AJ69" i="10"/>
  <c r="AH55" i="10"/>
  <c r="AJ55" i="10"/>
  <c r="O64" i="10"/>
  <c r="O50" i="10"/>
  <c r="S64" i="10"/>
  <c r="S50" i="10"/>
  <c r="W64" i="10"/>
  <c r="W50" i="10"/>
  <c r="AB50" i="10"/>
  <c r="O76" i="10"/>
  <c r="O62" i="10"/>
  <c r="S76" i="10"/>
  <c r="S62" i="10"/>
  <c r="W76" i="10"/>
  <c r="AB76" i="10"/>
  <c r="W62" i="10"/>
  <c r="AB62" i="10"/>
  <c r="O71" i="10"/>
  <c r="O57" i="10"/>
  <c r="S71" i="10"/>
  <c r="S57" i="10"/>
  <c r="W71" i="10"/>
  <c r="AB71" i="10"/>
  <c r="W57" i="10"/>
  <c r="AB57" i="10"/>
  <c r="D67" i="10"/>
  <c r="D53" i="10"/>
  <c r="G53" i="10"/>
  <c r="H67" i="10"/>
  <c r="H53" i="10"/>
  <c r="P67" i="10"/>
  <c r="P53" i="10"/>
  <c r="T67" i="10"/>
  <c r="Y67" i="10"/>
  <c r="T53" i="10"/>
  <c r="Y53" i="10"/>
  <c r="X67" i="10"/>
  <c r="AC67" i="10"/>
  <c r="X53" i="10"/>
  <c r="AC53" i="10"/>
  <c r="AG67" i="10"/>
  <c r="AG53" i="10"/>
  <c r="D73" i="10"/>
  <c r="D59" i="10"/>
  <c r="H73" i="10"/>
  <c r="H59" i="10"/>
  <c r="P73" i="10"/>
  <c r="P59" i="10"/>
  <c r="T59" i="10"/>
  <c r="Y59" i="10"/>
  <c r="T73" i="10"/>
  <c r="Y73" i="10"/>
  <c r="X59" i="10"/>
  <c r="AC59" i="10"/>
  <c r="X73" i="10"/>
  <c r="AC73" i="10"/>
  <c r="AG73" i="10"/>
  <c r="AG59" i="10"/>
  <c r="D68" i="10"/>
  <c r="D54" i="10"/>
  <c r="G54" i="10"/>
  <c r="H68" i="10"/>
  <c r="H54" i="10"/>
  <c r="P68" i="10"/>
  <c r="P54" i="10"/>
  <c r="T68" i="10"/>
  <c r="Y68" i="10"/>
  <c r="T54" i="10"/>
  <c r="Y54" i="10"/>
  <c r="X68" i="10"/>
  <c r="AC68" i="10"/>
  <c r="X54" i="10"/>
  <c r="AC54" i="10"/>
  <c r="AG68" i="10"/>
  <c r="AG54" i="10"/>
  <c r="F45" i="10"/>
  <c r="M45" i="10"/>
  <c r="M46" i="10"/>
  <c r="R45" i="10"/>
  <c r="AA46" i="10"/>
  <c r="AA45" i="10"/>
  <c r="AE45" i="10"/>
  <c r="K39" i="10"/>
  <c r="N39" i="10"/>
  <c r="AI39" i="10"/>
  <c r="AK39" i="10"/>
  <c r="F74" i="10"/>
  <c r="F60" i="10"/>
  <c r="J74" i="10"/>
  <c r="M74" i="10"/>
  <c r="J60" i="10"/>
  <c r="M60" i="10"/>
  <c r="R60" i="10"/>
  <c r="R74" i="10"/>
  <c r="V60" i="10"/>
  <c r="AA60" i="10"/>
  <c r="V74" i="10"/>
  <c r="AA74" i="10"/>
  <c r="AE74" i="10"/>
  <c r="AE60" i="10"/>
  <c r="AI33" i="10"/>
  <c r="AK33" i="10"/>
  <c r="K44" i="10"/>
  <c r="N44" i="10"/>
  <c r="AK44" i="10"/>
  <c r="AI44" i="10"/>
  <c r="F72" i="10"/>
  <c r="F58" i="10"/>
  <c r="J72" i="10"/>
  <c r="M72" i="10"/>
  <c r="J58" i="10"/>
  <c r="M58" i="10"/>
  <c r="R72" i="10"/>
  <c r="R58" i="10"/>
  <c r="V58" i="10"/>
  <c r="AA58" i="10"/>
  <c r="V72" i="10"/>
  <c r="AA72" i="10"/>
  <c r="AE72" i="10"/>
  <c r="AE58" i="10"/>
  <c r="D66" i="10"/>
  <c r="D52" i="10"/>
  <c r="G52" i="10"/>
  <c r="H66" i="10"/>
  <c r="H52" i="10"/>
  <c r="P66" i="10"/>
  <c r="P52" i="10"/>
  <c r="T66" i="10"/>
  <c r="Y66" i="10"/>
  <c r="T52" i="10"/>
  <c r="Y52" i="10"/>
  <c r="X66" i="10"/>
  <c r="AC66" i="10"/>
  <c r="X52" i="10"/>
  <c r="AC52" i="10"/>
  <c r="AG66" i="10"/>
  <c r="AG52" i="10"/>
  <c r="F75" i="10"/>
  <c r="F61" i="10"/>
  <c r="J75" i="10"/>
  <c r="M75" i="10"/>
  <c r="J61" i="10"/>
  <c r="M61" i="10"/>
  <c r="R75" i="10"/>
  <c r="R61" i="10"/>
  <c r="V75" i="10"/>
  <c r="AA75" i="10"/>
  <c r="V61" i="10"/>
  <c r="AA61" i="10"/>
  <c r="AE75" i="10"/>
  <c r="AE61" i="10"/>
  <c r="K42" i="10"/>
  <c r="N42" i="10"/>
  <c r="AK42" i="10"/>
  <c r="AI42" i="10"/>
  <c r="F70" i="10"/>
  <c r="F56" i="10"/>
  <c r="J70" i="10"/>
  <c r="M70" i="10"/>
  <c r="J56" i="10"/>
  <c r="M56" i="10"/>
  <c r="R70" i="10"/>
  <c r="R56" i="10"/>
  <c r="V70" i="10"/>
  <c r="AA70" i="10"/>
  <c r="V56" i="10"/>
  <c r="AA56" i="10"/>
  <c r="AE70" i="10"/>
  <c r="AE56" i="10"/>
  <c r="D65" i="10"/>
  <c r="D51" i="10"/>
  <c r="H65" i="10"/>
  <c r="H51" i="10"/>
  <c r="P65" i="10"/>
  <c r="P51" i="10"/>
  <c r="T65" i="10"/>
  <c r="Y65" i="10"/>
  <c r="T51" i="10"/>
  <c r="Y51" i="10"/>
  <c r="X65" i="10"/>
  <c r="AC65" i="10"/>
  <c r="X51" i="10"/>
  <c r="AC51" i="10"/>
  <c r="AG65" i="10"/>
  <c r="AG51" i="10"/>
  <c r="G49" i="10"/>
  <c r="K49" i="10"/>
  <c r="N49" i="10"/>
  <c r="Y49" i="10"/>
  <c r="AC49" i="10"/>
  <c r="AI49" i="10"/>
  <c r="AK49" i="10"/>
  <c r="F69" i="10"/>
  <c r="F55" i="10"/>
  <c r="J69" i="10"/>
  <c r="M69" i="10"/>
  <c r="J55" i="10"/>
  <c r="M55" i="10"/>
  <c r="R69" i="10"/>
  <c r="R55" i="10"/>
  <c r="V69" i="10"/>
  <c r="AA69" i="10"/>
  <c r="V55" i="10"/>
  <c r="AA55" i="10"/>
  <c r="AE69" i="10"/>
  <c r="AE55" i="10"/>
  <c r="D64" i="10"/>
  <c r="G64" i="10"/>
  <c r="D50" i="10"/>
  <c r="G50" i="10"/>
  <c r="H64" i="10"/>
  <c r="H50" i="10"/>
  <c r="P64" i="10"/>
  <c r="P50" i="10"/>
  <c r="T64" i="10"/>
  <c r="T50" i="10"/>
  <c r="Y50" i="10"/>
  <c r="X64" i="10"/>
  <c r="X50" i="10"/>
  <c r="AC50" i="10"/>
  <c r="AG64" i="10"/>
  <c r="AG50" i="10"/>
  <c r="D76" i="10"/>
  <c r="G76" i="10"/>
  <c r="D62" i="10"/>
  <c r="H76" i="10"/>
  <c r="H62" i="10"/>
  <c r="P76" i="10"/>
  <c r="P62" i="10"/>
  <c r="T76" i="10"/>
  <c r="Y76" i="10"/>
  <c r="T62" i="10"/>
  <c r="Y62" i="10"/>
  <c r="X76" i="10"/>
  <c r="AC76" i="10"/>
  <c r="X62" i="10"/>
  <c r="AC62" i="10"/>
  <c r="AG76" i="10"/>
  <c r="AG62" i="10"/>
  <c r="D71" i="10"/>
  <c r="G71" i="10"/>
  <c r="D57" i="10"/>
  <c r="G57" i="10"/>
  <c r="H71" i="10"/>
  <c r="H57" i="10"/>
  <c r="P71" i="10"/>
  <c r="P57" i="10"/>
  <c r="T71" i="10"/>
  <c r="Y71" i="10"/>
  <c r="T57" i="10"/>
  <c r="Y57" i="10"/>
  <c r="X57" i="10"/>
  <c r="AC57" i="10"/>
  <c r="X71" i="10"/>
  <c r="AC71" i="10"/>
  <c r="AG71" i="10"/>
  <c r="AG57" i="10"/>
  <c r="AF18" i="8"/>
  <c r="G25" i="8"/>
  <c r="N47" i="8"/>
  <c r="K47" i="8"/>
  <c r="N37" i="8"/>
  <c r="K37" i="8"/>
  <c r="M31" i="8"/>
  <c r="M32" i="8"/>
  <c r="M49" i="8"/>
  <c r="L31" i="8"/>
  <c r="L32" i="8"/>
  <c r="N45" i="8"/>
  <c r="N46" i="8"/>
  <c r="K45" i="8"/>
  <c r="K46" i="8"/>
  <c r="L46" i="8"/>
  <c r="L45" i="8"/>
  <c r="M45" i="8"/>
  <c r="M46" i="8"/>
  <c r="N38" i="8"/>
  <c r="K38" i="8"/>
  <c r="N43" i="8"/>
  <c r="N31" i="8"/>
  <c r="N32" i="8"/>
  <c r="K32" i="8"/>
  <c r="K31" i="8"/>
  <c r="N41" i="8"/>
  <c r="K41" i="8"/>
  <c r="N36" i="8"/>
  <c r="K36" i="8"/>
  <c r="K49" i="8"/>
  <c r="N49" i="8"/>
  <c r="K39" i="8"/>
  <c r="N39" i="8"/>
  <c r="N33" i="8"/>
  <c r="K33" i="8"/>
  <c r="N34" i="8"/>
  <c r="K34" i="8"/>
  <c r="N44" i="8"/>
  <c r="K44" i="8"/>
  <c r="N42" i="8"/>
  <c r="K42" i="8"/>
  <c r="K35" i="8"/>
  <c r="N35" i="8"/>
  <c r="N40" i="8"/>
  <c r="AF5" i="8"/>
  <c r="AF9" i="8"/>
  <c r="AF34" i="8"/>
  <c r="G22" i="8"/>
  <c r="L49" i="8"/>
  <c r="AF43" i="8"/>
  <c r="AF35" i="8"/>
  <c r="AF41" i="8"/>
  <c r="G17" i="8"/>
  <c r="G29" i="8"/>
  <c r="G21" i="8"/>
  <c r="AF10" i="8"/>
  <c r="AF33" i="8"/>
  <c r="G4" i="8"/>
  <c r="P31" i="8"/>
  <c r="AF26" i="8"/>
  <c r="G38" i="8"/>
  <c r="AF3" i="8"/>
  <c r="G40" i="8"/>
  <c r="G13" i="8"/>
  <c r="AF13" i="8"/>
  <c r="AF28" i="8"/>
  <c r="E31" i="8"/>
  <c r="AF40" i="8"/>
  <c r="G8" i="8"/>
  <c r="G9" i="8"/>
  <c r="AF14" i="8"/>
  <c r="G18" i="8"/>
  <c r="AF22" i="8"/>
  <c r="AF36" i="8"/>
  <c r="AF7" i="8"/>
  <c r="G41" i="8"/>
  <c r="G43" i="8"/>
  <c r="AC32" i="8"/>
  <c r="AC31" i="8"/>
  <c r="F31" i="8"/>
  <c r="Q31" i="8"/>
  <c r="Z31" i="8"/>
  <c r="Z32" i="8"/>
  <c r="AK36" i="8"/>
  <c r="AI36" i="8"/>
  <c r="Y32" i="8"/>
  <c r="Y31" i="8"/>
  <c r="AI34" i="8"/>
  <c r="AK34" i="8"/>
  <c r="R31" i="8"/>
  <c r="AA31" i="8"/>
  <c r="AA32" i="8"/>
  <c r="AE31" i="8"/>
  <c r="G33" i="8"/>
  <c r="G34" i="8"/>
  <c r="AI37" i="8"/>
  <c r="AK37" i="8"/>
  <c r="G35" i="8"/>
  <c r="AK35" i="8"/>
  <c r="AI35" i="8"/>
  <c r="AJ32" i="8"/>
  <c r="AJ31" i="8"/>
  <c r="AI33" i="8"/>
  <c r="AK33" i="8"/>
  <c r="G32" i="8"/>
  <c r="O31" i="8"/>
  <c r="S31" i="8"/>
  <c r="AB31" i="8"/>
  <c r="AB32" i="8"/>
  <c r="AK32" i="8"/>
  <c r="AK31" i="8"/>
  <c r="AI32" i="8"/>
  <c r="AI31" i="8"/>
  <c r="AF37" i="8"/>
  <c r="G36" i="8"/>
  <c r="F67" i="8"/>
  <c r="F53" i="8"/>
  <c r="O67" i="8"/>
  <c r="O53" i="8"/>
  <c r="D73" i="8"/>
  <c r="D59" i="8"/>
  <c r="AF2" i="8"/>
  <c r="G5" i="8"/>
  <c r="P67" i="8"/>
  <c r="P53" i="8"/>
  <c r="T67" i="8"/>
  <c r="Y67" i="8"/>
  <c r="T53" i="8"/>
  <c r="Y53" i="8"/>
  <c r="X67" i="8"/>
  <c r="AC67" i="8"/>
  <c r="X53" i="8"/>
  <c r="AC53" i="8"/>
  <c r="AG67" i="8"/>
  <c r="AF6" i="8"/>
  <c r="E73" i="8"/>
  <c r="E59" i="8"/>
  <c r="I73" i="8"/>
  <c r="L73" i="8"/>
  <c r="I59" i="8"/>
  <c r="L59" i="8"/>
  <c r="R73" i="8"/>
  <c r="R59" i="8"/>
  <c r="V73" i="8"/>
  <c r="AA73" i="8"/>
  <c r="V59" i="8"/>
  <c r="AA59" i="8"/>
  <c r="AE73" i="8"/>
  <c r="AE59" i="8"/>
  <c r="P68" i="8"/>
  <c r="P54" i="8"/>
  <c r="T68" i="8"/>
  <c r="Y68" i="8"/>
  <c r="T54" i="8"/>
  <c r="Y54" i="8"/>
  <c r="X68" i="8"/>
  <c r="AC68" i="8"/>
  <c r="X54" i="8"/>
  <c r="AC54" i="8"/>
  <c r="AG68" i="8"/>
  <c r="F45" i="8"/>
  <c r="O45" i="8"/>
  <c r="S45" i="8"/>
  <c r="AB46" i="8"/>
  <c r="AB45" i="8"/>
  <c r="D74" i="8"/>
  <c r="D60" i="8"/>
  <c r="H74" i="8"/>
  <c r="H60" i="8"/>
  <c r="Q74" i="8"/>
  <c r="Q60" i="8"/>
  <c r="U74" i="8"/>
  <c r="Z74" i="8"/>
  <c r="U60" i="8"/>
  <c r="Z60" i="8"/>
  <c r="AD74" i="8"/>
  <c r="AD60" i="8"/>
  <c r="AH74" i="8"/>
  <c r="AJ74" i="8"/>
  <c r="AJ60" i="8"/>
  <c r="D72" i="8"/>
  <c r="D58" i="8"/>
  <c r="H72" i="8"/>
  <c r="H58" i="8"/>
  <c r="Q72" i="8"/>
  <c r="Q58" i="8"/>
  <c r="U72" i="8"/>
  <c r="Z72" i="8"/>
  <c r="U58" i="8"/>
  <c r="Z58" i="8"/>
  <c r="AD72" i="8"/>
  <c r="AD58" i="8"/>
  <c r="AH72" i="8"/>
  <c r="AJ72" i="8"/>
  <c r="AJ58" i="8"/>
  <c r="P66" i="8"/>
  <c r="P52" i="8"/>
  <c r="T66" i="8"/>
  <c r="Y66" i="8"/>
  <c r="T52" i="8"/>
  <c r="Y52" i="8"/>
  <c r="X66" i="8"/>
  <c r="AC66" i="8"/>
  <c r="X52" i="8"/>
  <c r="AC52" i="8"/>
  <c r="AG66" i="8"/>
  <c r="F75" i="8"/>
  <c r="F61" i="8"/>
  <c r="J75" i="8"/>
  <c r="M75" i="8"/>
  <c r="J61" i="8"/>
  <c r="M61" i="8"/>
  <c r="O75" i="8"/>
  <c r="O61" i="8"/>
  <c r="S75" i="8"/>
  <c r="S61" i="8"/>
  <c r="W75" i="8"/>
  <c r="AB75" i="8"/>
  <c r="W61" i="8"/>
  <c r="AB61" i="8"/>
  <c r="D70" i="8"/>
  <c r="D56" i="8"/>
  <c r="H70" i="8"/>
  <c r="H56" i="8"/>
  <c r="Q70" i="8"/>
  <c r="Q56" i="8"/>
  <c r="U70" i="8"/>
  <c r="Z70" i="8"/>
  <c r="U56" i="8"/>
  <c r="Z56" i="8"/>
  <c r="AD70" i="8"/>
  <c r="AD56" i="8"/>
  <c r="AH70" i="8"/>
  <c r="AJ70" i="8"/>
  <c r="AJ56" i="8"/>
  <c r="P65" i="8"/>
  <c r="P51" i="8"/>
  <c r="T65" i="8"/>
  <c r="Y65" i="8"/>
  <c r="T51" i="8"/>
  <c r="Y51" i="8"/>
  <c r="X65" i="8"/>
  <c r="AC65" i="8"/>
  <c r="X51" i="8"/>
  <c r="AC51" i="8"/>
  <c r="AG65" i="8"/>
  <c r="AA49" i="8"/>
  <c r="D69" i="8"/>
  <c r="D55" i="8"/>
  <c r="H69" i="8"/>
  <c r="H55" i="8"/>
  <c r="Q69" i="8"/>
  <c r="Q55" i="8"/>
  <c r="U69" i="8"/>
  <c r="Z69" i="8"/>
  <c r="U55" i="8"/>
  <c r="Z55" i="8"/>
  <c r="AD69" i="8"/>
  <c r="AD55" i="8"/>
  <c r="AH69" i="8"/>
  <c r="AJ69" i="8"/>
  <c r="AJ55" i="8"/>
  <c r="P64" i="8"/>
  <c r="P50" i="8"/>
  <c r="T64" i="8"/>
  <c r="T50" i="8"/>
  <c r="Y50" i="8"/>
  <c r="X64" i="8"/>
  <c r="X50" i="8"/>
  <c r="AC50" i="8"/>
  <c r="AG64" i="8"/>
  <c r="E76" i="8"/>
  <c r="E62" i="8"/>
  <c r="I76" i="8"/>
  <c r="L76" i="8"/>
  <c r="I62" i="8"/>
  <c r="L62" i="8"/>
  <c r="R76" i="8"/>
  <c r="R62" i="8"/>
  <c r="V76" i="8"/>
  <c r="AA76" i="8"/>
  <c r="V62" i="8"/>
  <c r="AA62" i="8"/>
  <c r="AE76" i="8"/>
  <c r="AE62" i="8"/>
  <c r="P71" i="8"/>
  <c r="P57" i="8"/>
  <c r="T71" i="8"/>
  <c r="Y71" i="8"/>
  <c r="T57" i="8"/>
  <c r="Y57" i="8"/>
  <c r="X71" i="8"/>
  <c r="AC71" i="8"/>
  <c r="X57" i="8"/>
  <c r="AC57" i="8"/>
  <c r="AG71" i="8"/>
  <c r="AF30" i="8"/>
  <c r="AD32" i="8"/>
  <c r="D37" i="8"/>
  <c r="G37" i="8"/>
  <c r="W67" i="8"/>
  <c r="AB67" i="8"/>
  <c r="W53" i="8"/>
  <c r="AB53" i="8"/>
  <c r="U73" i="8"/>
  <c r="Z73" i="8"/>
  <c r="U59" i="8"/>
  <c r="Z59" i="8"/>
  <c r="AH73" i="8"/>
  <c r="AJ73" i="8"/>
  <c r="AJ59" i="8"/>
  <c r="AI41" i="8"/>
  <c r="AK41" i="8"/>
  <c r="G2" i="8"/>
  <c r="AI38" i="8"/>
  <c r="AK38" i="8"/>
  <c r="D67" i="8"/>
  <c r="D53" i="8"/>
  <c r="H67" i="8"/>
  <c r="H53" i="8"/>
  <c r="Q67" i="8"/>
  <c r="Q53" i="8"/>
  <c r="U67" i="8"/>
  <c r="Z67" i="8"/>
  <c r="U53" i="8"/>
  <c r="Z53" i="8"/>
  <c r="AD67" i="8"/>
  <c r="AD53" i="8"/>
  <c r="AH67" i="8"/>
  <c r="AJ67" i="8"/>
  <c r="AJ53" i="8"/>
  <c r="G6" i="8"/>
  <c r="AI47" i="8"/>
  <c r="AK47" i="8"/>
  <c r="F73" i="8"/>
  <c r="F59" i="8"/>
  <c r="J73" i="8"/>
  <c r="M73" i="8"/>
  <c r="J59" i="8"/>
  <c r="M59" i="8"/>
  <c r="O73" i="8"/>
  <c r="O59" i="8"/>
  <c r="S73" i="8"/>
  <c r="S59" i="8"/>
  <c r="W73" i="8"/>
  <c r="AB73" i="8"/>
  <c r="W59" i="8"/>
  <c r="AB59" i="8"/>
  <c r="D68" i="8"/>
  <c r="D54" i="8"/>
  <c r="H68" i="8"/>
  <c r="H54" i="8"/>
  <c r="Q68" i="8"/>
  <c r="Q54" i="8"/>
  <c r="U68" i="8"/>
  <c r="Z68" i="8"/>
  <c r="U54" i="8"/>
  <c r="Z54" i="8"/>
  <c r="AD68" i="8"/>
  <c r="AD54" i="8"/>
  <c r="AH68" i="8"/>
  <c r="AJ68" i="8"/>
  <c r="AJ54" i="8"/>
  <c r="G10" i="8"/>
  <c r="P45" i="8"/>
  <c r="Y45" i="8"/>
  <c r="Y46" i="8"/>
  <c r="AC45" i="8"/>
  <c r="AC46" i="8"/>
  <c r="AI46" i="8"/>
  <c r="AI45" i="8"/>
  <c r="AK46" i="8"/>
  <c r="AF11" i="8"/>
  <c r="E74" i="8"/>
  <c r="E60" i="8"/>
  <c r="I74" i="8"/>
  <c r="L74" i="8"/>
  <c r="I60" i="8"/>
  <c r="L60" i="8"/>
  <c r="R74" i="8"/>
  <c r="R60" i="8"/>
  <c r="V74" i="8"/>
  <c r="AA74" i="8"/>
  <c r="V60" i="8"/>
  <c r="AA60" i="8"/>
  <c r="AE74" i="8"/>
  <c r="AE60" i="8"/>
  <c r="G14" i="8"/>
  <c r="AF15" i="8"/>
  <c r="E72" i="8"/>
  <c r="E58" i="8"/>
  <c r="I72" i="8"/>
  <c r="L72" i="8"/>
  <c r="I58" i="8"/>
  <c r="L58" i="8"/>
  <c r="R72" i="8"/>
  <c r="R58" i="8"/>
  <c r="V72" i="8"/>
  <c r="AA72" i="8"/>
  <c r="V58" i="8"/>
  <c r="AA58" i="8"/>
  <c r="AE72" i="8"/>
  <c r="AE58" i="8"/>
  <c r="D66" i="8"/>
  <c r="D52" i="8"/>
  <c r="H66" i="8"/>
  <c r="H52" i="8"/>
  <c r="Q66" i="8"/>
  <c r="Q52" i="8"/>
  <c r="U66" i="8"/>
  <c r="Z66" i="8"/>
  <c r="U52" i="8"/>
  <c r="Z52" i="8"/>
  <c r="AD66" i="8"/>
  <c r="AD52" i="8"/>
  <c r="AH66" i="8"/>
  <c r="AJ66" i="8"/>
  <c r="AJ52" i="8"/>
  <c r="P75" i="8"/>
  <c r="P61" i="8"/>
  <c r="T75" i="8"/>
  <c r="Y75" i="8"/>
  <c r="T61" i="8"/>
  <c r="Y61" i="8"/>
  <c r="X75" i="8"/>
  <c r="AC75" i="8"/>
  <c r="X61" i="8"/>
  <c r="AC61" i="8"/>
  <c r="AG75" i="8"/>
  <c r="AF19" i="8"/>
  <c r="E70" i="8"/>
  <c r="E56" i="8"/>
  <c r="I70" i="8"/>
  <c r="L70" i="8"/>
  <c r="I56" i="8"/>
  <c r="L56" i="8"/>
  <c r="R70" i="8"/>
  <c r="R56" i="8"/>
  <c r="V70" i="8"/>
  <c r="AA70" i="8"/>
  <c r="V56" i="8"/>
  <c r="AA56" i="8"/>
  <c r="AE70" i="8"/>
  <c r="AE56" i="8"/>
  <c r="D65" i="8"/>
  <c r="D51" i="8"/>
  <c r="H65" i="8"/>
  <c r="H51" i="8"/>
  <c r="Q65" i="8"/>
  <c r="Q51" i="8"/>
  <c r="U65" i="8"/>
  <c r="Z65" i="8"/>
  <c r="U51" i="8"/>
  <c r="Z51" i="8"/>
  <c r="AD65" i="8"/>
  <c r="AD51" i="8"/>
  <c r="AH65" i="8"/>
  <c r="AJ65" i="8"/>
  <c r="AJ51" i="8"/>
  <c r="AB49" i="8"/>
  <c r="AF23" i="8"/>
  <c r="E69" i="8"/>
  <c r="E55" i="8"/>
  <c r="I69" i="8"/>
  <c r="L69" i="8"/>
  <c r="I55" i="8"/>
  <c r="L55" i="8"/>
  <c r="R69" i="8"/>
  <c r="R55" i="8"/>
  <c r="V69" i="8"/>
  <c r="AA69" i="8"/>
  <c r="V55" i="8"/>
  <c r="AA55" i="8"/>
  <c r="AE69" i="8"/>
  <c r="AE55" i="8"/>
  <c r="D64" i="8"/>
  <c r="D50" i="8"/>
  <c r="H64" i="8"/>
  <c r="H50" i="8"/>
  <c r="Q64" i="8"/>
  <c r="Q50" i="8"/>
  <c r="U64" i="8"/>
  <c r="U50" i="8"/>
  <c r="Z50" i="8"/>
  <c r="AD64" i="8"/>
  <c r="AD50" i="8"/>
  <c r="AH64" i="8"/>
  <c r="AJ50" i="8"/>
  <c r="G26" i="8"/>
  <c r="F76" i="8"/>
  <c r="F62" i="8"/>
  <c r="J76" i="8"/>
  <c r="M76" i="8"/>
  <c r="J62" i="8"/>
  <c r="M62" i="8"/>
  <c r="O76" i="8"/>
  <c r="O62" i="8"/>
  <c r="S76" i="8"/>
  <c r="S62" i="8"/>
  <c r="W76" i="8"/>
  <c r="AB76" i="8"/>
  <c r="W62" i="8"/>
  <c r="AB62" i="8"/>
  <c r="AF27" i="8"/>
  <c r="D71" i="8"/>
  <c r="D57" i="8"/>
  <c r="H71" i="8"/>
  <c r="H57" i="8"/>
  <c r="Q71" i="8"/>
  <c r="Q57" i="8"/>
  <c r="U71" i="8"/>
  <c r="Z71" i="8"/>
  <c r="U57" i="8"/>
  <c r="Z57" i="8"/>
  <c r="AD71" i="8"/>
  <c r="AD57" i="8"/>
  <c r="AH71" i="8"/>
  <c r="AJ71" i="8"/>
  <c r="AJ57" i="8"/>
  <c r="G30" i="8"/>
  <c r="AK40" i="8"/>
  <c r="AI40" i="8"/>
  <c r="J67" i="8"/>
  <c r="M67" i="8"/>
  <c r="J53" i="8"/>
  <c r="M53" i="8"/>
  <c r="S67" i="8"/>
  <c r="S53" i="8"/>
  <c r="H73" i="8"/>
  <c r="H59" i="8"/>
  <c r="Q73" i="8"/>
  <c r="Q59" i="8"/>
  <c r="AD73" i="8"/>
  <c r="AD59" i="8"/>
  <c r="AF59" i="8"/>
  <c r="AF38" i="8"/>
  <c r="G3" i="8"/>
  <c r="AF4" i="8"/>
  <c r="E67" i="8"/>
  <c r="E53" i="8"/>
  <c r="I67" i="8"/>
  <c r="L67" i="8"/>
  <c r="I53" i="8"/>
  <c r="L53" i="8"/>
  <c r="R67" i="8"/>
  <c r="R53" i="8"/>
  <c r="V67" i="8"/>
  <c r="AA67" i="8"/>
  <c r="V53" i="8"/>
  <c r="AA53" i="8"/>
  <c r="AE67" i="8"/>
  <c r="AE53" i="8"/>
  <c r="G47" i="8"/>
  <c r="AF47" i="8"/>
  <c r="G7" i="8"/>
  <c r="P73" i="8"/>
  <c r="P59" i="8"/>
  <c r="T73" i="8"/>
  <c r="Y73" i="8"/>
  <c r="T59" i="8"/>
  <c r="Y59" i="8"/>
  <c r="X73" i="8"/>
  <c r="AC73" i="8"/>
  <c r="X59" i="8"/>
  <c r="AC59" i="8"/>
  <c r="AG73" i="8"/>
  <c r="AF8" i="8"/>
  <c r="E68" i="8"/>
  <c r="E54" i="8"/>
  <c r="I68" i="8"/>
  <c r="L68" i="8"/>
  <c r="I54" i="8"/>
  <c r="L54" i="8"/>
  <c r="R68" i="8"/>
  <c r="R54" i="8"/>
  <c r="V68" i="8"/>
  <c r="AA68" i="8"/>
  <c r="V54" i="8"/>
  <c r="AA54" i="8"/>
  <c r="AE68" i="8"/>
  <c r="AE54" i="8"/>
  <c r="G46" i="8"/>
  <c r="D45" i="8"/>
  <c r="Q45" i="8"/>
  <c r="Z45" i="8"/>
  <c r="Z46" i="8"/>
  <c r="AF46" i="8"/>
  <c r="AD45" i="8"/>
  <c r="AJ46" i="8"/>
  <c r="AJ45" i="8"/>
  <c r="G11" i="8"/>
  <c r="AK39" i="8"/>
  <c r="AI39" i="8"/>
  <c r="F74" i="8"/>
  <c r="F60" i="8"/>
  <c r="J74" i="8"/>
  <c r="M74" i="8"/>
  <c r="J60" i="8"/>
  <c r="M60" i="8"/>
  <c r="O74" i="8"/>
  <c r="O60" i="8"/>
  <c r="S74" i="8"/>
  <c r="S60" i="8"/>
  <c r="W74" i="8"/>
  <c r="AB74" i="8"/>
  <c r="W60" i="8"/>
  <c r="AB60" i="8"/>
  <c r="AF12" i="8"/>
  <c r="G15" i="8"/>
  <c r="AK44" i="8"/>
  <c r="AI44" i="8"/>
  <c r="F72" i="8"/>
  <c r="F58" i="8"/>
  <c r="J72" i="8"/>
  <c r="M72" i="8"/>
  <c r="J58" i="8"/>
  <c r="M58" i="8"/>
  <c r="O72" i="8"/>
  <c r="O58" i="8"/>
  <c r="S72" i="8"/>
  <c r="S58" i="8"/>
  <c r="W72" i="8"/>
  <c r="AB72" i="8"/>
  <c r="W58" i="8"/>
  <c r="AB58" i="8"/>
  <c r="AF16" i="8"/>
  <c r="E66" i="8"/>
  <c r="E52" i="8"/>
  <c r="I66" i="8"/>
  <c r="L66" i="8"/>
  <c r="I52" i="8"/>
  <c r="L52" i="8"/>
  <c r="R66" i="8"/>
  <c r="R52" i="8"/>
  <c r="V66" i="8"/>
  <c r="AA66" i="8"/>
  <c r="V52" i="8"/>
  <c r="AA52" i="8"/>
  <c r="AE66" i="8"/>
  <c r="AE52" i="8"/>
  <c r="D75" i="8"/>
  <c r="D61" i="8"/>
  <c r="H75" i="8"/>
  <c r="H61" i="8"/>
  <c r="Q75" i="8"/>
  <c r="Q61" i="8"/>
  <c r="U75" i="8"/>
  <c r="Z75" i="8"/>
  <c r="U61" i="8"/>
  <c r="Z61" i="8"/>
  <c r="AD75" i="8"/>
  <c r="AD61" i="8"/>
  <c r="AH75" i="8"/>
  <c r="AJ75" i="8"/>
  <c r="AJ61" i="8"/>
  <c r="G19" i="8"/>
  <c r="AI42" i="8"/>
  <c r="AK42" i="8"/>
  <c r="F70" i="8"/>
  <c r="F56" i="8"/>
  <c r="J70" i="8"/>
  <c r="M70" i="8"/>
  <c r="J56" i="8"/>
  <c r="M56" i="8"/>
  <c r="O70" i="8"/>
  <c r="O56" i="8"/>
  <c r="S70" i="8"/>
  <c r="S56" i="8"/>
  <c r="W70" i="8"/>
  <c r="AB70" i="8"/>
  <c r="W56" i="8"/>
  <c r="AB56" i="8"/>
  <c r="AF20" i="8"/>
  <c r="E65" i="8"/>
  <c r="E51" i="8"/>
  <c r="I65" i="8"/>
  <c r="L65" i="8"/>
  <c r="I51" i="8"/>
  <c r="L51" i="8"/>
  <c r="R65" i="8"/>
  <c r="R51" i="8"/>
  <c r="V65" i="8"/>
  <c r="AA65" i="8"/>
  <c r="V51" i="8"/>
  <c r="AA51" i="8"/>
  <c r="AE65" i="8"/>
  <c r="AE51" i="8"/>
  <c r="G23" i="8"/>
  <c r="Y49" i="8"/>
  <c r="AC49" i="8"/>
  <c r="AK49" i="8"/>
  <c r="AI49" i="8"/>
  <c r="F69" i="8"/>
  <c r="F55" i="8"/>
  <c r="J69" i="8"/>
  <c r="M69" i="8"/>
  <c r="J55" i="8"/>
  <c r="M55" i="8"/>
  <c r="O69" i="8"/>
  <c r="O55" i="8"/>
  <c r="S69" i="8"/>
  <c r="S55" i="8"/>
  <c r="W69" i="8"/>
  <c r="AB69" i="8"/>
  <c r="W55" i="8"/>
  <c r="AB55" i="8"/>
  <c r="AF24" i="8"/>
  <c r="E64" i="8"/>
  <c r="E50" i="8"/>
  <c r="I64" i="8"/>
  <c r="I50" i="8"/>
  <c r="L50" i="8"/>
  <c r="R64" i="8"/>
  <c r="R50" i="8"/>
  <c r="V64" i="8"/>
  <c r="V50" i="8"/>
  <c r="AA50" i="8"/>
  <c r="AE64" i="8"/>
  <c r="AE50" i="8"/>
  <c r="G27" i="8"/>
  <c r="P76" i="8"/>
  <c r="P62" i="8"/>
  <c r="T76" i="8"/>
  <c r="Y76" i="8"/>
  <c r="T62" i="8"/>
  <c r="Y62" i="8"/>
  <c r="X76" i="8"/>
  <c r="AC76" i="8"/>
  <c r="X62" i="8"/>
  <c r="AC62" i="8"/>
  <c r="AG76" i="8"/>
  <c r="E71" i="8"/>
  <c r="E57" i="8"/>
  <c r="I71" i="8"/>
  <c r="L71" i="8"/>
  <c r="I57" i="8"/>
  <c r="L57" i="8"/>
  <c r="R71" i="8"/>
  <c r="R57" i="8"/>
  <c r="V71" i="8"/>
  <c r="AA71" i="8"/>
  <c r="V57" i="8"/>
  <c r="AA57" i="8"/>
  <c r="AE71" i="8"/>
  <c r="AE57" i="8"/>
  <c r="F68" i="8"/>
  <c r="F54" i="8"/>
  <c r="J68" i="8"/>
  <c r="M68" i="8"/>
  <c r="J54" i="8"/>
  <c r="M54" i="8"/>
  <c r="O68" i="8"/>
  <c r="O54" i="8"/>
  <c r="S68" i="8"/>
  <c r="S54" i="8"/>
  <c r="W68" i="8"/>
  <c r="AB68" i="8"/>
  <c r="W54" i="8"/>
  <c r="AB54" i="8"/>
  <c r="E45" i="8"/>
  <c r="R45" i="8"/>
  <c r="AA45" i="8"/>
  <c r="AA46" i="8"/>
  <c r="AE45" i="8"/>
  <c r="G39" i="8"/>
  <c r="AF39" i="8"/>
  <c r="G12" i="8"/>
  <c r="P74" i="8"/>
  <c r="P60" i="8"/>
  <c r="T74" i="8"/>
  <c r="Y74" i="8"/>
  <c r="T60" i="8"/>
  <c r="Y60" i="8"/>
  <c r="X74" i="8"/>
  <c r="AC74" i="8"/>
  <c r="X60" i="8"/>
  <c r="AC60" i="8"/>
  <c r="AG74" i="8"/>
  <c r="G44" i="8"/>
  <c r="AF44" i="8"/>
  <c r="G16" i="8"/>
  <c r="P72" i="8"/>
  <c r="P58" i="8"/>
  <c r="T72" i="8"/>
  <c r="Y72" i="8"/>
  <c r="T58" i="8"/>
  <c r="Y58" i="8"/>
  <c r="X72" i="8"/>
  <c r="AC72" i="8"/>
  <c r="X58" i="8"/>
  <c r="AC58" i="8"/>
  <c r="AG72" i="8"/>
  <c r="F66" i="8"/>
  <c r="F52" i="8"/>
  <c r="J66" i="8"/>
  <c r="M66" i="8"/>
  <c r="J52" i="8"/>
  <c r="M52" i="8"/>
  <c r="O66" i="8"/>
  <c r="O52" i="8"/>
  <c r="S66" i="8"/>
  <c r="S52" i="8"/>
  <c r="W66" i="8"/>
  <c r="AB66" i="8"/>
  <c r="W52" i="8"/>
  <c r="AB52" i="8"/>
  <c r="AF17" i="8"/>
  <c r="E75" i="8"/>
  <c r="E61" i="8"/>
  <c r="I75" i="8"/>
  <c r="L75" i="8"/>
  <c r="I61" i="8"/>
  <c r="L61" i="8"/>
  <c r="R75" i="8"/>
  <c r="R61" i="8"/>
  <c r="V75" i="8"/>
  <c r="AA75" i="8"/>
  <c r="V61" i="8"/>
  <c r="AA61" i="8"/>
  <c r="AE75" i="8"/>
  <c r="AE61" i="8"/>
  <c r="G42" i="8"/>
  <c r="AF42" i="8"/>
  <c r="G20" i="8"/>
  <c r="P70" i="8"/>
  <c r="P56" i="8"/>
  <c r="T70" i="8"/>
  <c r="Y70" i="8"/>
  <c r="T56" i="8"/>
  <c r="Y56" i="8"/>
  <c r="X70" i="8"/>
  <c r="AC70" i="8"/>
  <c r="X56" i="8"/>
  <c r="AC56" i="8"/>
  <c r="AG70" i="8"/>
  <c r="F65" i="8"/>
  <c r="F51" i="8"/>
  <c r="J65" i="8"/>
  <c r="M65" i="8"/>
  <c r="J51" i="8"/>
  <c r="M51" i="8"/>
  <c r="O65" i="8"/>
  <c r="O51" i="8"/>
  <c r="S65" i="8"/>
  <c r="S51" i="8"/>
  <c r="W65" i="8"/>
  <c r="AB65" i="8"/>
  <c r="W51" i="8"/>
  <c r="AB51" i="8"/>
  <c r="AF21" i="8"/>
  <c r="G49" i="8"/>
  <c r="Z49" i="8"/>
  <c r="AF49" i="8"/>
  <c r="AJ49" i="8"/>
  <c r="G24" i="8"/>
  <c r="P69" i="8"/>
  <c r="P55" i="8"/>
  <c r="T69" i="8"/>
  <c r="Y69" i="8"/>
  <c r="T55" i="8"/>
  <c r="Y55" i="8"/>
  <c r="X69" i="8"/>
  <c r="AC69" i="8"/>
  <c r="X55" i="8"/>
  <c r="AC55" i="8"/>
  <c r="AG69" i="8"/>
  <c r="F64" i="8"/>
  <c r="F50" i="8"/>
  <c r="J64" i="8"/>
  <c r="J50" i="8"/>
  <c r="M50" i="8"/>
  <c r="O64" i="8"/>
  <c r="O50" i="8"/>
  <c r="S64" i="8"/>
  <c r="S50" i="8"/>
  <c r="W64" i="8"/>
  <c r="W50" i="8"/>
  <c r="AB50" i="8"/>
  <c r="AF25" i="8"/>
  <c r="D76" i="8"/>
  <c r="D62" i="8"/>
  <c r="H76" i="8"/>
  <c r="H62" i="8"/>
  <c r="Q76" i="8"/>
  <c r="Q62" i="8"/>
  <c r="U76" i="8"/>
  <c r="Z76" i="8"/>
  <c r="U62" i="8"/>
  <c r="Z62" i="8"/>
  <c r="AD76" i="8"/>
  <c r="AF76" i="8"/>
  <c r="AD62" i="8"/>
  <c r="AF62" i="8"/>
  <c r="AH76" i="8"/>
  <c r="AJ76" i="8"/>
  <c r="AJ62" i="8"/>
  <c r="G28" i="8"/>
  <c r="AK43" i="8"/>
  <c r="AI43" i="8"/>
  <c r="F71" i="8"/>
  <c r="F57" i="8"/>
  <c r="J71" i="8"/>
  <c r="M71" i="8"/>
  <c r="J57" i="8"/>
  <c r="M57" i="8"/>
  <c r="O71" i="8"/>
  <c r="O57" i="8"/>
  <c r="S71" i="8"/>
  <c r="S57" i="8"/>
  <c r="W71" i="8"/>
  <c r="AB71" i="8"/>
  <c r="W57" i="8"/>
  <c r="AB57" i="8"/>
  <c r="AF29" i="8"/>
  <c r="U67" i="27"/>
  <c r="U53" i="27"/>
  <c r="J67" i="27"/>
  <c r="M67" i="27"/>
  <c r="J51" i="27"/>
  <c r="U52" i="27"/>
  <c r="J55" i="27"/>
  <c r="U56" i="27"/>
  <c r="J59" i="27"/>
  <c r="U60" i="27"/>
  <c r="J52" i="27"/>
  <c r="J56" i="27"/>
  <c r="M56" i="27"/>
  <c r="U57" i="27"/>
  <c r="J60" i="27"/>
  <c r="U61" i="27"/>
  <c r="K31" i="27"/>
  <c r="K32" i="27"/>
  <c r="N31" i="27"/>
  <c r="N32" i="27"/>
  <c r="X32" i="27"/>
  <c r="X31" i="27"/>
  <c r="N39" i="27"/>
  <c r="K39" i="27"/>
  <c r="Y36" i="27"/>
  <c r="V36" i="27"/>
  <c r="K38" i="27"/>
  <c r="N38" i="27"/>
  <c r="L31" i="27"/>
  <c r="L32" i="27"/>
  <c r="V33" i="27"/>
  <c r="Y33" i="27"/>
  <c r="K34" i="27"/>
  <c r="N34" i="27"/>
  <c r="V37" i="27"/>
  <c r="Y37" i="27"/>
  <c r="N35" i="27"/>
  <c r="K35" i="27"/>
  <c r="M32" i="27"/>
  <c r="M31" i="27"/>
  <c r="Y32" i="27"/>
  <c r="V31" i="27"/>
  <c r="Y31" i="27"/>
  <c r="V32" i="27"/>
  <c r="V39" i="27"/>
  <c r="Y39" i="27"/>
  <c r="K36" i="27"/>
  <c r="N36" i="27"/>
  <c r="V38" i="27"/>
  <c r="Y38" i="27"/>
  <c r="W31" i="27"/>
  <c r="W32" i="27"/>
  <c r="K40" i="27"/>
  <c r="N40" i="27"/>
  <c r="K33" i="27"/>
  <c r="N33" i="27"/>
  <c r="V34" i="27"/>
  <c r="Y34" i="27"/>
  <c r="K37" i="27"/>
  <c r="N37" i="27"/>
  <c r="V35" i="27"/>
  <c r="Y35" i="27"/>
  <c r="G2" i="27"/>
  <c r="R3" i="27"/>
  <c r="W67" i="27"/>
  <c r="W53" i="27"/>
  <c r="G6" i="27"/>
  <c r="V47" i="27"/>
  <c r="Y47" i="27"/>
  <c r="M73" i="27"/>
  <c r="M59" i="27"/>
  <c r="W68" i="27"/>
  <c r="W54" i="27"/>
  <c r="G10" i="27"/>
  <c r="V45" i="27"/>
  <c r="Y45" i="27"/>
  <c r="V46" i="27"/>
  <c r="Y46" i="27"/>
  <c r="R11" i="27"/>
  <c r="L74" i="27"/>
  <c r="L60" i="27"/>
  <c r="X74" i="27"/>
  <c r="X60" i="27"/>
  <c r="G14" i="27"/>
  <c r="R15" i="27"/>
  <c r="L72" i="27"/>
  <c r="L58" i="27"/>
  <c r="X72" i="27"/>
  <c r="X58" i="27"/>
  <c r="W66" i="27"/>
  <c r="W52" i="27"/>
  <c r="R19" i="27"/>
  <c r="L70" i="27"/>
  <c r="L56" i="27"/>
  <c r="X70" i="27"/>
  <c r="X56" i="27"/>
  <c r="W65" i="27"/>
  <c r="W51" i="27"/>
  <c r="G22" i="27"/>
  <c r="M49" i="27"/>
  <c r="R23" i="27"/>
  <c r="L69" i="27"/>
  <c r="L55" i="27"/>
  <c r="X69" i="27"/>
  <c r="X55" i="27"/>
  <c r="W50" i="27"/>
  <c r="G26" i="27"/>
  <c r="M76" i="27"/>
  <c r="M62" i="27"/>
  <c r="W71" i="27"/>
  <c r="W57" i="27"/>
  <c r="G30" i="27"/>
  <c r="L67" i="27"/>
  <c r="L53" i="27"/>
  <c r="X67" i="27"/>
  <c r="X53" i="27"/>
  <c r="K47" i="27"/>
  <c r="N47" i="27"/>
  <c r="L68" i="27"/>
  <c r="L54" i="27"/>
  <c r="X68" i="27"/>
  <c r="X54" i="27"/>
  <c r="K45" i="27"/>
  <c r="K46" i="27"/>
  <c r="N45" i="27"/>
  <c r="N46" i="27"/>
  <c r="W46" i="27"/>
  <c r="W45" i="27"/>
  <c r="M74" i="27"/>
  <c r="M60" i="27"/>
  <c r="Y44" i="27"/>
  <c r="V44" i="27"/>
  <c r="M72" i="27"/>
  <c r="M58" i="27"/>
  <c r="L66" i="27"/>
  <c r="L52" i="27"/>
  <c r="X66" i="27"/>
  <c r="X52" i="27"/>
  <c r="W75" i="27"/>
  <c r="W61" i="27"/>
  <c r="V42" i="27"/>
  <c r="Y42" i="27"/>
  <c r="M70" i="27"/>
  <c r="L65" i="27"/>
  <c r="L51" i="27"/>
  <c r="X65" i="27"/>
  <c r="X51" i="27"/>
  <c r="V49" i="27"/>
  <c r="Y49" i="27"/>
  <c r="M69" i="27"/>
  <c r="M55" i="27"/>
  <c r="L50" i="27"/>
  <c r="X50" i="27"/>
  <c r="L71" i="27"/>
  <c r="L57" i="27"/>
  <c r="X71" i="27"/>
  <c r="X57" i="27"/>
  <c r="G4" i="27"/>
  <c r="Y40" i="27"/>
  <c r="V40" i="27"/>
  <c r="M53" i="27"/>
  <c r="W73" i="27"/>
  <c r="W59" i="27"/>
  <c r="G8" i="27"/>
  <c r="V41" i="27"/>
  <c r="Y41" i="27"/>
  <c r="M68" i="27"/>
  <c r="M54" i="27"/>
  <c r="L46" i="27"/>
  <c r="L45" i="27"/>
  <c r="X46" i="27"/>
  <c r="X45" i="27"/>
  <c r="R13" i="27"/>
  <c r="K44" i="27"/>
  <c r="N44" i="27"/>
  <c r="M66" i="27"/>
  <c r="M52" i="27"/>
  <c r="L75" i="27"/>
  <c r="L61" i="27"/>
  <c r="X75" i="27"/>
  <c r="X61" i="27"/>
  <c r="K42" i="27"/>
  <c r="N42" i="27"/>
  <c r="M65" i="27"/>
  <c r="M51" i="27"/>
  <c r="N49" i="27"/>
  <c r="K49" i="27"/>
  <c r="W49" i="27"/>
  <c r="M50" i="27"/>
  <c r="W76" i="27"/>
  <c r="W62" i="27"/>
  <c r="G28" i="27"/>
  <c r="V43" i="27"/>
  <c r="Y43" i="27"/>
  <c r="M71" i="27"/>
  <c r="M57" i="27"/>
  <c r="R2" i="27"/>
  <c r="G5" i="27"/>
  <c r="R6" i="27"/>
  <c r="L73" i="27"/>
  <c r="L59" i="27"/>
  <c r="X73" i="27"/>
  <c r="X59" i="27"/>
  <c r="K41" i="27"/>
  <c r="N41" i="27"/>
  <c r="G9" i="27"/>
  <c r="M45" i="27"/>
  <c r="M46" i="27"/>
  <c r="R10" i="27"/>
  <c r="W74" i="27"/>
  <c r="W60" i="27"/>
  <c r="G13" i="27"/>
  <c r="R14" i="27"/>
  <c r="W72" i="27"/>
  <c r="W58" i="27"/>
  <c r="G17" i="27"/>
  <c r="M75" i="27"/>
  <c r="M61" i="27"/>
  <c r="R18" i="27"/>
  <c r="W70" i="27"/>
  <c r="W56" i="27"/>
  <c r="G21" i="27"/>
  <c r="R22" i="27"/>
  <c r="L49" i="27"/>
  <c r="X49" i="27"/>
  <c r="K48" i="27"/>
  <c r="W69" i="27"/>
  <c r="W55" i="27"/>
  <c r="G25" i="27"/>
  <c r="L76" i="27"/>
  <c r="L62" i="27"/>
  <c r="X76" i="27"/>
  <c r="X62" i="27"/>
  <c r="N43" i="27"/>
  <c r="K43" i="27"/>
  <c r="G29" i="27"/>
  <c r="Z31" i="14"/>
  <c r="AB31" i="14"/>
  <c r="AC31" i="14"/>
  <c r="AA31" i="14"/>
  <c r="AI58" i="14"/>
  <c r="AI67" i="14"/>
  <c r="AI68" i="14"/>
  <c r="AI75" i="14"/>
  <c r="AN75" i="14"/>
  <c r="AE61" i="14"/>
  <c r="J61" i="14"/>
  <c r="H54" i="14"/>
  <c r="S56" i="14"/>
  <c r="S73" i="14"/>
  <c r="S50" i="14"/>
  <c r="S51" i="14"/>
  <c r="S52" i="14"/>
  <c r="S60" i="14"/>
  <c r="H61" i="14"/>
  <c r="S67" i="14"/>
  <c r="S71" i="14"/>
  <c r="S72" i="14"/>
  <c r="H74" i="14"/>
  <c r="S75" i="14"/>
  <c r="H53" i="14"/>
  <c r="S55" i="14"/>
  <c r="H62" i="14"/>
  <c r="H73" i="14"/>
  <c r="H58" i="14"/>
  <c r="AU43" i="14"/>
  <c r="AV43" i="14"/>
  <c r="AS60" i="14"/>
  <c r="AS72" i="14"/>
  <c r="AS69" i="14"/>
  <c r="AS61" i="14"/>
  <c r="AP32" i="14"/>
  <c r="AP31" i="14"/>
  <c r="J53" i="14"/>
  <c r="M53" i="14"/>
  <c r="AE53" i="14"/>
  <c r="AJ53" i="14"/>
  <c r="J50" i="14"/>
  <c r="M50" i="14"/>
  <c r="AF74" i="14"/>
  <c r="AF53" i="14"/>
  <c r="AK53" i="14"/>
  <c r="AF70" i="14"/>
  <c r="AK70" i="14"/>
  <c r="AF73" i="14"/>
  <c r="AF59" i="14"/>
  <c r="AF66" i="14"/>
  <c r="AK66" i="14"/>
  <c r="AF68" i="14"/>
  <c r="AK68" i="14"/>
  <c r="AF54" i="14"/>
  <c r="AF72" i="14"/>
  <c r="AK72" i="14"/>
  <c r="AF58" i="14"/>
  <c r="AF65" i="14"/>
  <c r="AK65" i="14"/>
  <c r="AF51" i="14"/>
  <c r="AF69" i="14"/>
  <c r="AK69" i="14"/>
  <c r="AF55" i="14"/>
  <c r="AK55" i="14"/>
  <c r="AF64" i="14"/>
  <c r="AF50" i="14"/>
  <c r="AF76" i="14"/>
  <c r="AF62" i="14"/>
  <c r="AK62" i="14"/>
  <c r="AF61" i="14"/>
  <c r="AK61" i="14"/>
  <c r="J51" i="14"/>
  <c r="M51" i="14"/>
  <c r="AE51" i="14"/>
  <c r="AJ51" i="14"/>
  <c r="AI51" i="14"/>
  <c r="AN51" i="14"/>
  <c r="U52" i="14"/>
  <c r="X52" i="14"/>
  <c r="AH52" i="14"/>
  <c r="AG53" i="14"/>
  <c r="J55" i="14"/>
  <c r="M55" i="14"/>
  <c r="AE55" i="14"/>
  <c r="AJ55" i="14"/>
  <c r="AI55" i="14"/>
  <c r="U56" i="14"/>
  <c r="AH56" i="14"/>
  <c r="AM56" i="14"/>
  <c r="AG57" i="14"/>
  <c r="AL57" i="14"/>
  <c r="J59" i="14"/>
  <c r="AE59" i="14"/>
  <c r="AJ59" i="14"/>
  <c r="AI59" i="14"/>
  <c r="U60" i="14"/>
  <c r="X60" i="14"/>
  <c r="AH60" i="14"/>
  <c r="AG61" i="14"/>
  <c r="AL61" i="14"/>
  <c r="AG50" i="14"/>
  <c r="AL50" i="14"/>
  <c r="J52" i="14"/>
  <c r="M52" i="14"/>
  <c r="AE52" i="14"/>
  <c r="AI52" i="14"/>
  <c r="U53" i="14"/>
  <c r="X53" i="14"/>
  <c r="AH53" i="14"/>
  <c r="AM53" i="14"/>
  <c r="AG54" i="14"/>
  <c r="J56" i="14"/>
  <c r="M56" i="14"/>
  <c r="AE56" i="14"/>
  <c r="AI56" i="14"/>
  <c r="AN56" i="14"/>
  <c r="U57" i="14"/>
  <c r="AH57" i="14"/>
  <c r="AM57" i="14"/>
  <c r="AG58" i="14"/>
  <c r="AL58" i="14"/>
  <c r="J60" i="14"/>
  <c r="M60" i="14"/>
  <c r="AE60" i="14"/>
  <c r="AI60" i="14"/>
  <c r="AN60" i="14"/>
  <c r="U61" i="14"/>
  <c r="X61" i="14"/>
  <c r="AH61" i="14"/>
  <c r="AM61" i="14"/>
  <c r="AG62" i="14"/>
  <c r="E41" i="14"/>
  <c r="AO33" i="14"/>
  <c r="AQ33" i="14"/>
  <c r="P43" i="14"/>
  <c r="R35" i="14"/>
  <c r="G42" i="14"/>
  <c r="D44" i="14"/>
  <c r="R8" i="14"/>
  <c r="AQ41" i="14"/>
  <c r="AQ42" i="14"/>
  <c r="R4" i="14"/>
  <c r="AQ44" i="14"/>
  <c r="AO40" i="14"/>
  <c r="AQ40" i="14"/>
  <c r="F41" i="14"/>
  <c r="F31" i="14"/>
  <c r="AQ8" i="14"/>
  <c r="Z45" i="14"/>
  <c r="AD45" i="14"/>
  <c r="R33" i="14"/>
  <c r="V45" i="14"/>
  <c r="D49" i="14"/>
  <c r="G49" i="14"/>
  <c r="O43" i="14"/>
  <c r="R43" i="14"/>
  <c r="AO43" i="14"/>
  <c r="AM31" i="14"/>
  <c r="V32" i="14"/>
  <c r="Y32" i="14"/>
  <c r="V31" i="14"/>
  <c r="Y31" i="14"/>
  <c r="AJ31" i="14"/>
  <c r="AJ32" i="14"/>
  <c r="AN31" i="14"/>
  <c r="AN32" i="14"/>
  <c r="K35" i="14"/>
  <c r="N35" i="14"/>
  <c r="P38" i="14"/>
  <c r="R2" i="14"/>
  <c r="AT32" i="14"/>
  <c r="AT31" i="14"/>
  <c r="AV32" i="14"/>
  <c r="AN73" i="14"/>
  <c r="AN59" i="14"/>
  <c r="AC68" i="14"/>
  <c r="AC54" i="14"/>
  <c r="Z72" i="14"/>
  <c r="Z58" i="14"/>
  <c r="E66" i="14"/>
  <c r="E52" i="14"/>
  <c r="AT42" i="14"/>
  <c r="AV42" i="14"/>
  <c r="D37" i="14"/>
  <c r="G37" i="14"/>
  <c r="AT37" i="14"/>
  <c r="AV37" i="14"/>
  <c r="AJ49" i="14"/>
  <c r="L71" i="14"/>
  <c r="L57" i="14"/>
  <c r="G32" i="14"/>
  <c r="AM32" i="14"/>
  <c r="D38" i="14"/>
  <c r="G38" i="14"/>
  <c r="G2" i="14"/>
  <c r="M31" i="14"/>
  <c r="M32" i="14"/>
  <c r="AU31" i="14"/>
  <c r="X67" i="14"/>
  <c r="AC67" i="14"/>
  <c r="AC53" i="14"/>
  <c r="AL67" i="14"/>
  <c r="AL53" i="14"/>
  <c r="AP67" i="14"/>
  <c r="AP53" i="14"/>
  <c r="AQ5" i="14"/>
  <c r="O73" i="14"/>
  <c r="O59" i="14"/>
  <c r="R7" i="14"/>
  <c r="L68" i="14"/>
  <c r="L54" i="14"/>
  <c r="W46" i="14"/>
  <c r="W45" i="14"/>
  <c r="AB45" i="14"/>
  <c r="AK45" i="14"/>
  <c r="AK46" i="14"/>
  <c r="AO46" i="14"/>
  <c r="AQ10" i="14"/>
  <c r="M74" i="14"/>
  <c r="Z74" i="14"/>
  <c r="Z60" i="14"/>
  <c r="AD74" i="14"/>
  <c r="AD60" i="14"/>
  <c r="AM74" i="14"/>
  <c r="AM60" i="14"/>
  <c r="E33" i="14"/>
  <c r="E31" i="14"/>
  <c r="Y33" i="14"/>
  <c r="K34" i="14"/>
  <c r="N34" i="14"/>
  <c r="P34" i="14"/>
  <c r="R34" i="14"/>
  <c r="R14" i="14"/>
  <c r="AV44" i="14"/>
  <c r="AT44" i="14"/>
  <c r="F72" i="14"/>
  <c r="F58" i="14"/>
  <c r="D75" i="14"/>
  <c r="D61" i="14"/>
  <c r="V42" i="14"/>
  <c r="Y42" i="14"/>
  <c r="X65" i="14"/>
  <c r="X51" i="14"/>
  <c r="AC65" i="14"/>
  <c r="AC51" i="14"/>
  <c r="AL65" i="14"/>
  <c r="AL51" i="14"/>
  <c r="AP65" i="14"/>
  <c r="AQ65" i="14"/>
  <c r="AP51" i="14"/>
  <c r="O49" i="14"/>
  <c r="R23" i="14"/>
  <c r="L50" i="14"/>
  <c r="AQ26" i="14"/>
  <c r="AO36" i="14"/>
  <c r="AQ36" i="14"/>
  <c r="E71" i="14"/>
  <c r="E57" i="14"/>
  <c r="N31" i="14"/>
  <c r="AL31" i="14"/>
  <c r="N33" i="14"/>
  <c r="AT33" i="14"/>
  <c r="D35" i="14"/>
  <c r="G35" i="14"/>
  <c r="N38" i="14"/>
  <c r="K38" i="14"/>
  <c r="L31" i="14"/>
  <c r="L32" i="14"/>
  <c r="AJ73" i="14"/>
  <c r="AL68" i="14"/>
  <c r="AL54" i="14"/>
  <c r="AU46" i="14"/>
  <c r="AU45" i="14"/>
  <c r="M72" i="14"/>
  <c r="M58" i="14"/>
  <c r="AD72" i="14"/>
  <c r="AD58" i="14"/>
  <c r="X50" i="14"/>
  <c r="AP64" i="14"/>
  <c r="AP50" i="14"/>
  <c r="AQ30" i="14"/>
  <c r="AO35" i="14"/>
  <c r="AQ35" i="14"/>
  <c r="V38" i="14"/>
  <c r="Y38" i="14"/>
  <c r="W31" i="14"/>
  <c r="AK31" i="14"/>
  <c r="AK32" i="14"/>
  <c r="L67" i="14"/>
  <c r="L53" i="14"/>
  <c r="Q67" i="14"/>
  <c r="Q53" i="14"/>
  <c r="AO47" i="14"/>
  <c r="AQ47" i="14"/>
  <c r="AQ6" i="14"/>
  <c r="E68" i="14"/>
  <c r="E54" i="14"/>
  <c r="K46" i="14"/>
  <c r="N45" i="14"/>
  <c r="N46" i="14"/>
  <c r="K45" i="14"/>
  <c r="R10" i="14"/>
  <c r="P46" i="14"/>
  <c r="AV39" i="14"/>
  <c r="AT39" i="14"/>
  <c r="F74" i="14"/>
  <c r="F60" i="14"/>
  <c r="D34" i="14"/>
  <c r="G34" i="14"/>
  <c r="AV34" i="14"/>
  <c r="AT34" i="14"/>
  <c r="V44" i="14"/>
  <c r="Y44" i="14"/>
  <c r="X66" i="14"/>
  <c r="AC66" i="14"/>
  <c r="AC52" i="14"/>
  <c r="AL66" i="14"/>
  <c r="AL52" i="14"/>
  <c r="AP66" i="14"/>
  <c r="AP52" i="14"/>
  <c r="AQ17" i="14"/>
  <c r="AU75" i="14"/>
  <c r="AU61" i="14"/>
  <c r="R19" i="14"/>
  <c r="O42" i="14"/>
  <c r="R42" i="14"/>
  <c r="L65" i="14"/>
  <c r="L51" i="14"/>
  <c r="Q65" i="14"/>
  <c r="Q51" i="14"/>
  <c r="AO37" i="14"/>
  <c r="AQ37" i="14"/>
  <c r="AQ22" i="14"/>
  <c r="M69" i="14"/>
  <c r="Z69" i="14"/>
  <c r="Z55" i="14"/>
  <c r="AD69" i="14"/>
  <c r="AD55" i="14"/>
  <c r="AM69" i="14"/>
  <c r="AM55" i="14"/>
  <c r="E64" i="14"/>
  <c r="E50" i="14"/>
  <c r="N36" i="14"/>
  <c r="K36" i="14"/>
  <c r="R26" i="14"/>
  <c r="P36" i="14"/>
  <c r="R36" i="14"/>
  <c r="R29" i="14"/>
  <c r="O32" i="14"/>
  <c r="AU32" i="14"/>
  <c r="D47" i="14"/>
  <c r="G47" i="14"/>
  <c r="AA73" i="14"/>
  <c r="AA59" i="14"/>
  <c r="K41" i="14"/>
  <c r="N41" i="14"/>
  <c r="X68" i="14"/>
  <c r="X54" i="14"/>
  <c r="AP68" i="14"/>
  <c r="AP54" i="14"/>
  <c r="AQ9" i="14"/>
  <c r="O39" i="14"/>
  <c r="R39" i="14"/>
  <c r="R11" i="14"/>
  <c r="AM72" i="14"/>
  <c r="AM58" i="14"/>
  <c r="P75" i="14"/>
  <c r="P61" i="14"/>
  <c r="R18" i="14"/>
  <c r="F70" i="14"/>
  <c r="F56" i="14"/>
  <c r="V49" i="14"/>
  <c r="Y49" i="14"/>
  <c r="AN49" i="14"/>
  <c r="AC64" i="14"/>
  <c r="AC50" i="14"/>
  <c r="AC55" i="14"/>
  <c r="AC56" i="14"/>
  <c r="AC57" i="14"/>
  <c r="AC58" i="14"/>
  <c r="AC59" i="14"/>
  <c r="AC60" i="14"/>
  <c r="AC61" i="14"/>
  <c r="AC62" i="14"/>
  <c r="AC48" i="14"/>
  <c r="O76" i="14"/>
  <c r="O62" i="14"/>
  <c r="R27" i="14"/>
  <c r="R38" i="14"/>
  <c r="AO38" i="14"/>
  <c r="AQ38" i="14"/>
  <c r="AQ2" i="14"/>
  <c r="N32" i="14"/>
  <c r="K31" i="14"/>
  <c r="X31" i="14"/>
  <c r="X32" i="14"/>
  <c r="E67" i="14"/>
  <c r="E53" i="14"/>
  <c r="N47" i="14"/>
  <c r="K47" i="14"/>
  <c r="P47" i="14"/>
  <c r="R47" i="14"/>
  <c r="R6" i="14"/>
  <c r="AT41" i="14"/>
  <c r="AV41" i="14"/>
  <c r="R9" i="14"/>
  <c r="D46" i="14"/>
  <c r="AT46" i="14"/>
  <c r="AT45" i="14"/>
  <c r="AV46" i="14"/>
  <c r="M39" i="14"/>
  <c r="N39" i="14"/>
  <c r="Y39" i="14"/>
  <c r="V39" i="14"/>
  <c r="O44" i="14"/>
  <c r="R44" i="14"/>
  <c r="R15" i="14"/>
  <c r="L66" i="14"/>
  <c r="L52" i="14"/>
  <c r="W75" i="14"/>
  <c r="W61" i="14"/>
  <c r="AB75" i="14"/>
  <c r="AB61" i="14"/>
  <c r="AK75" i="14"/>
  <c r="AO75" i="14"/>
  <c r="AO61" i="14"/>
  <c r="AQ18" i="14"/>
  <c r="M70" i="14"/>
  <c r="Z70" i="14"/>
  <c r="Z56" i="14"/>
  <c r="AD70" i="14"/>
  <c r="AD56" i="14"/>
  <c r="AM70" i="14"/>
  <c r="E65" i="14"/>
  <c r="E51" i="14"/>
  <c r="K37" i="14"/>
  <c r="N37" i="14"/>
  <c r="P37" i="14"/>
  <c r="R22" i="14"/>
  <c r="AT49" i="14"/>
  <c r="AV49" i="14"/>
  <c r="F69" i="14"/>
  <c r="F55" i="14"/>
  <c r="R25" i="14"/>
  <c r="AQ25" i="14"/>
  <c r="D36" i="14"/>
  <c r="G36" i="14"/>
  <c r="AA76" i="14"/>
  <c r="AA62" i="14"/>
  <c r="AJ76" i="14"/>
  <c r="AJ62" i="14"/>
  <c r="AN76" i="14"/>
  <c r="AN62" i="14"/>
  <c r="X71" i="14"/>
  <c r="X57" i="14"/>
  <c r="AC71" i="14"/>
  <c r="AL71" i="14"/>
  <c r="AP71" i="14"/>
  <c r="AP57" i="14"/>
  <c r="V35" i="14"/>
  <c r="Y35" i="14"/>
  <c r="AV31" i="14"/>
  <c r="V33" i="14"/>
  <c r="Y34" i="14"/>
  <c r="AO34" i="14"/>
  <c r="AQ34" i="14"/>
  <c r="R40" i="14"/>
  <c r="AV40" i="14"/>
  <c r="AT40" i="14"/>
  <c r="F67" i="14"/>
  <c r="F53" i="14"/>
  <c r="M67" i="14"/>
  <c r="R5" i="14"/>
  <c r="Z67" i="14"/>
  <c r="Z53" i="14"/>
  <c r="AD67" i="14"/>
  <c r="AD53" i="14"/>
  <c r="AM67" i="14"/>
  <c r="D73" i="14"/>
  <c r="D59" i="14"/>
  <c r="P73" i="14"/>
  <c r="P59" i="14"/>
  <c r="W73" i="14"/>
  <c r="W59" i="14"/>
  <c r="AB73" i="14"/>
  <c r="AB59" i="14"/>
  <c r="AK73" i="14"/>
  <c r="AK59" i="14"/>
  <c r="AO73" i="14"/>
  <c r="AO59" i="14"/>
  <c r="AU73" i="14"/>
  <c r="AU59" i="14"/>
  <c r="R41" i="14"/>
  <c r="V41" i="14"/>
  <c r="Y41" i="14"/>
  <c r="F68" i="14"/>
  <c r="F54" i="14"/>
  <c r="M68" i="14"/>
  <c r="M54" i="14"/>
  <c r="Z68" i="14"/>
  <c r="Z54" i="14"/>
  <c r="AD68" i="14"/>
  <c r="AD54" i="14"/>
  <c r="E45" i="14"/>
  <c r="L45" i="14"/>
  <c r="Q45" i="14"/>
  <c r="X45" i="14"/>
  <c r="AC45" i="14"/>
  <c r="AL45" i="14"/>
  <c r="AL46" i="14"/>
  <c r="AP45" i="14"/>
  <c r="G39" i="14"/>
  <c r="AQ39" i="14"/>
  <c r="O74" i="14"/>
  <c r="O60" i="14"/>
  <c r="AA74" i="14"/>
  <c r="AA60" i="14"/>
  <c r="AJ74" i="14"/>
  <c r="AJ60" i="14"/>
  <c r="AN74" i="14"/>
  <c r="R13" i="14"/>
  <c r="G44" i="14"/>
  <c r="K44" i="14"/>
  <c r="N44" i="14"/>
  <c r="O72" i="14"/>
  <c r="O58" i="14"/>
  <c r="AA72" i="14"/>
  <c r="AA58" i="14"/>
  <c r="AJ72" i="14"/>
  <c r="AJ58" i="14"/>
  <c r="AN72" i="14"/>
  <c r="AN58" i="14"/>
  <c r="F66" i="14"/>
  <c r="F71" i="14"/>
  <c r="F73" i="14"/>
  <c r="F75" i="14"/>
  <c r="F76" i="14"/>
  <c r="F63" i="14"/>
  <c r="F52" i="14"/>
  <c r="M66" i="14"/>
  <c r="Z66" i="14"/>
  <c r="Z52" i="14"/>
  <c r="AD66" i="14"/>
  <c r="AD52" i="14"/>
  <c r="AM66" i="14"/>
  <c r="AM52" i="14"/>
  <c r="E75" i="14"/>
  <c r="E61" i="14"/>
  <c r="L75" i="14"/>
  <c r="L61" i="14"/>
  <c r="X75" i="14"/>
  <c r="AC75" i="14"/>
  <c r="AL75" i="14"/>
  <c r="AP75" i="14"/>
  <c r="AP61" i="14"/>
  <c r="N42" i="14"/>
  <c r="O70" i="14"/>
  <c r="O56" i="14"/>
  <c r="AA70" i="14"/>
  <c r="AA56" i="14"/>
  <c r="AJ70" i="14"/>
  <c r="AJ56" i="14"/>
  <c r="AN70" i="14"/>
  <c r="F65" i="14"/>
  <c r="F51" i="14"/>
  <c r="M65" i="14"/>
  <c r="Z65" i="14"/>
  <c r="Z51" i="14"/>
  <c r="AD65" i="14"/>
  <c r="AD51" i="14"/>
  <c r="AM65" i="14"/>
  <c r="AM51" i="14"/>
  <c r="AQ21" i="14"/>
  <c r="N49" i="14"/>
  <c r="K49" i="14"/>
  <c r="W49" i="14"/>
  <c r="AK49" i="14"/>
  <c r="AQ49" i="14"/>
  <c r="AU49" i="14"/>
  <c r="O69" i="14"/>
  <c r="O55" i="14"/>
  <c r="AA69" i="14"/>
  <c r="AA55" i="14"/>
  <c r="AJ69" i="14"/>
  <c r="AN69" i="14"/>
  <c r="AN55" i="14"/>
  <c r="Z64" i="14"/>
  <c r="Z50" i="14"/>
  <c r="AD64" i="14"/>
  <c r="AD50" i="14"/>
  <c r="AD57" i="14"/>
  <c r="AD59" i="14"/>
  <c r="AD61" i="14"/>
  <c r="AD62" i="14"/>
  <c r="AD48" i="14"/>
  <c r="AM50" i="14"/>
  <c r="D76" i="14"/>
  <c r="D62" i="14"/>
  <c r="P76" i="14"/>
  <c r="P62" i="14"/>
  <c r="W76" i="14"/>
  <c r="W62" i="14"/>
  <c r="AB76" i="14"/>
  <c r="AB62" i="14"/>
  <c r="AK76" i="14"/>
  <c r="AO76" i="14"/>
  <c r="AO62" i="14"/>
  <c r="AU76" i="14"/>
  <c r="AU62" i="14"/>
  <c r="Y43" i="14"/>
  <c r="F57" i="14"/>
  <c r="M71" i="14"/>
  <c r="M57" i="14"/>
  <c r="Z71" i="14"/>
  <c r="Z57" i="14"/>
  <c r="AD71" i="14"/>
  <c r="AM71" i="14"/>
  <c r="K42" i="14"/>
  <c r="N43" i="14"/>
  <c r="AT43" i="14"/>
  <c r="AB52" i="14"/>
  <c r="X55" i="14"/>
  <c r="AL59" i="14"/>
  <c r="AV35" i="14"/>
  <c r="V47" i="14"/>
  <c r="Y47" i="14"/>
  <c r="G40" i="14"/>
  <c r="K40" i="14"/>
  <c r="N40" i="14"/>
  <c r="AA67" i="14"/>
  <c r="AA53" i="14"/>
  <c r="AN67" i="14"/>
  <c r="AN53" i="14"/>
  <c r="E73" i="14"/>
  <c r="E59" i="14"/>
  <c r="L73" i="14"/>
  <c r="L59" i="14"/>
  <c r="X73" i="14"/>
  <c r="X59" i="14"/>
  <c r="AC73" i="14"/>
  <c r="AP73" i="14"/>
  <c r="AP59" i="14"/>
  <c r="O68" i="14"/>
  <c r="O54" i="14"/>
  <c r="AA68" i="14"/>
  <c r="AA54" i="14"/>
  <c r="AJ68" i="14"/>
  <c r="AJ54" i="14"/>
  <c r="AN68" i="14"/>
  <c r="AN54" i="14"/>
  <c r="F45" i="14"/>
  <c r="M45" i="14"/>
  <c r="M46" i="14"/>
  <c r="P74" i="14"/>
  <c r="P60" i="14"/>
  <c r="AB74" i="14"/>
  <c r="AB60" i="14"/>
  <c r="AK74" i="14"/>
  <c r="AK60" i="14"/>
  <c r="AO74" i="14"/>
  <c r="AO60" i="14"/>
  <c r="AU74" i="14"/>
  <c r="AU60" i="14"/>
  <c r="D72" i="14"/>
  <c r="D58" i="14"/>
  <c r="P72" i="14"/>
  <c r="P58" i="14"/>
  <c r="W72" i="14"/>
  <c r="W58" i="14"/>
  <c r="AB72" i="14"/>
  <c r="AB58" i="14"/>
  <c r="AK58" i="14"/>
  <c r="AO72" i="14"/>
  <c r="AO58" i="14"/>
  <c r="AU72" i="14"/>
  <c r="AU58" i="14"/>
  <c r="O66" i="14"/>
  <c r="O52" i="14"/>
  <c r="AA66" i="14"/>
  <c r="AA52" i="14"/>
  <c r="AJ66" i="14"/>
  <c r="AJ52" i="14"/>
  <c r="AN66" i="14"/>
  <c r="AN52" i="14"/>
  <c r="AT66" i="14"/>
  <c r="F61" i="14"/>
  <c r="M75" i="14"/>
  <c r="M61" i="14"/>
  <c r="Z75" i="14"/>
  <c r="Z61" i="14"/>
  <c r="AD75" i="14"/>
  <c r="AM75" i="14"/>
  <c r="D70" i="14"/>
  <c r="D56" i="14"/>
  <c r="K70" i="14"/>
  <c r="P70" i="14"/>
  <c r="P56" i="14"/>
  <c r="W70" i="14"/>
  <c r="W56" i="14"/>
  <c r="AB70" i="14"/>
  <c r="AB56" i="14"/>
  <c r="AK56" i="14"/>
  <c r="AO70" i="14"/>
  <c r="AO56" i="14"/>
  <c r="AU70" i="14"/>
  <c r="AU56" i="14"/>
  <c r="O65" i="14"/>
  <c r="O51" i="14"/>
  <c r="AA65" i="14"/>
  <c r="AA51" i="14"/>
  <c r="AJ65" i="14"/>
  <c r="AN65" i="14"/>
  <c r="L49" i="14"/>
  <c r="X49" i="14"/>
  <c r="AL49" i="14"/>
  <c r="D69" i="14"/>
  <c r="D55" i="14"/>
  <c r="P69" i="14"/>
  <c r="P55" i="14"/>
  <c r="W69" i="14"/>
  <c r="W55" i="14"/>
  <c r="AB69" i="14"/>
  <c r="AB55" i="14"/>
  <c r="AO69" i="14"/>
  <c r="AO55" i="14"/>
  <c r="AU69" i="14"/>
  <c r="AU55" i="14"/>
  <c r="O64" i="14"/>
  <c r="O50" i="14"/>
  <c r="AA64" i="14"/>
  <c r="AA50" i="14"/>
  <c r="AJ50" i="14"/>
  <c r="AN50" i="14"/>
  <c r="E76" i="14"/>
  <c r="E62" i="14"/>
  <c r="L76" i="14"/>
  <c r="L62" i="14"/>
  <c r="X76" i="14"/>
  <c r="X62" i="14"/>
  <c r="AC76" i="14"/>
  <c r="AL62" i="14"/>
  <c r="AL76" i="14"/>
  <c r="AP76" i="14"/>
  <c r="AP62" i="14"/>
  <c r="G43" i="14"/>
  <c r="AQ43" i="14"/>
  <c r="O71" i="14"/>
  <c r="O57" i="14"/>
  <c r="AJ71" i="14"/>
  <c r="AJ57" i="14"/>
  <c r="AN71" i="14"/>
  <c r="AN57" i="14"/>
  <c r="R30" i="14"/>
  <c r="AO32" i="14"/>
  <c r="Y36" i="14"/>
  <c r="Y40" i="14"/>
  <c r="X46" i="14"/>
  <c r="F50" i="14"/>
  <c r="F59" i="14"/>
  <c r="F62" i="14"/>
  <c r="F48" i="14"/>
  <c r="D60" i="14"/>
  <c r="AT38" i="14"/>
  <c r="AV38" i="14"/>
  <c r="D67" i="14"/>
  <c r="D53" i="14"/>
  <c r="P67" i="14"/>
  <c r="R67" i="14"/>
  <c r="P53" i="14"/>
  <c r="W67" i="14"/>
  <c r="W53" i="14"/>
  <c r="AB67" i="14"/>
  <c r="AB53" i="14"/>
  <c r="AK67" i="14"/>
  <c r="AO67" i="14"/>
  <c r="AO53" i="14"/>
  <c r="AU67" i="14"/>
  <c r="AU53" i="14"/>
  <c r="AT47" i="14"/>
  <c r="AV47" i="14"/>
  <c r="M73" i="14"/>
  <c r="M59" i="14"/>
  <c r="Z73" i="14"/>
  <c r="Z59" i="14"/>
  <c r="AD73" i="14"/>
  <c r="AM73" i="14"/>
  <c r="AM59" i="14"/>
  <c r="AQ7" i="14"/>
  <c r="D54" i="14"/>
  <c r="D68" i="14"/>
  <c r="P68" i="14"/>
  <c r="P54" i="14"/>
  <c r="W54" i="14"/>
  <c r="W68" i="14"/>
  <c r="AB68" i="14"/>
  <c r="AB54" i="14"/>
  <c r="AK54" i="14"/>
  <c r="AO68" i="14"/>
  <c r="AO54" i="14"/>
  <c r="AU68" i="14"/>
  <c r="AU54" i="14"/>
  <c r="R46" i="14"/>
  <c r="Y45" i="14"/>
  <c r="V46" i="14"/>
  <c r="Y46" i="14"/>
  <c r="AA45" i="14"/>
  <c r="AJ45" i="14"/>
  <c r="AN45" i="14"/>
  <c r="AQ11" i="14"/>
  <c r="E74" i="14"/>
  <c r="E60" i="14"/>
  <c r="L74" i="14"/>
  <c r="L60" i="14"/>
  <c r="X74" i="14"/>
  <c r="AC74" i="14"/>
  <c r="AL74" i="14"/>
  <c r="AL60" i="14"/>
  <c r="AP74" i="14"/>
  <c r="AP60" i="14"/>
  <c r="AQ15" i="14"/>
  <c r="E72" i="14"/>
  <c r="E58" i="14"/>
  <c r="L72" i="14"/>
  <c r="L58" i="14"/>
  <c r="X72" i="14"/>
  <c r="X58" i="14"/>
  <c r="AC72" i="14"/>
  <c r="AL72" i="14"/>
  <c r="AP72" i="14"/>
  <c r="AP58" i="14"/>
  <c r="D66" i="14"/>
  <c r="D52" i="14"/>
  <c r="P66" i="14"/>
  <c r="P52" i="14"/>
  <c r="W66" i="14"/>
  <c r="W52" i="14"/>
  <c r="AO66" i="14"/>
  <c r="AO52" i="14"/>
  <c r="AU66" i="14"/>
  <c r="AU52" i="14"/>
  <c r="O75" i="14"/>
  <c r="O61" i="14"/>
  <c r="AA75" i="14"/>
  <c r="AA61" i="14"/>
  <c r="AJ75" i="14"/>
  <c r="AJ61" i="14"/>
  <c r="AN61" i="14"/>
  <c r="AQ19" i="14"/>
  <c r="E70" i="14"/>
  <c r="E56" i="14"/>
  <c r="L70" i="14"/>
  <c r="L56" i="14"/>
  <c r="X70" i="14"/>
  <c r="X56" i="14"/>
  <c r="AC70" i="14"/>
  <c r="AL70" i="14"/>
  <c r="AL56" i="14"/>
  <c r="AP70" i="14"/>
  <c r="AP56" i="14"/>
  <c r="D65" i="14"/>
  <c r="D51" i="14"/>
  <c r="P65" i="14"/>
  <c r="P51" i="14"/>
  <c r="W65" i="14"/>
  <c r="W51" i="14"/>
  <c r="AB65" i="14"/>
  <c r="AB51" i="14"/>
  <c r="AK51" i="14"/>
  <c r="AU65" i="14"/>
  <c r="AU51" i="14"/>
  <c r="V37" i="14"/>
  <c r="Y37" i="14"/>
  <c r="AM49" i="14"/>
  <c r="AQ23" i="14"/>
  <c r="L69" i="14"/>
  <c r="L55" i="14"/>
  <c r="AC69" i="14"/>
  <c r="AL69" i="14"/>
  <c r="AL55" i="14"/>
  <c r="AP69" i="14"/>
  <c r="AP55" i="14"/>
  <c r="D64" i="14"/>
  <c r="D50" i="14"/>
  <c r="P64" i="14"/>
  <c r="P50" i="14"/>
  <c r="W50" i="14"/>
  <c r="AB64" i="14"/>
  <c r="AB50" i="14"/>
  <c r="AB57" i="14"/>
  <c r="AB48" i="14"/>
  <c r="AK50" i="14"/>
  <c r="AO64" i="14"/>
  <c r="AO50" i="14"/>
  <c r="AU50" i="14"/>
  <c r="AV36" i="14"/>
  <c r="AT36" i="14"/>
  <c r="M76" i="14"/>
  <c r="M62" i="14"/>
  <c r="Z76" i="14"/>
  <c r="Z62" i="14"/>
  <c r="AD76" i="14"/>
  <c r="AM76" i="14"/>
  <c r="AM62" i="14"/>
  <c r="AQ27" i="14"/>
  <c r="D71" i="14"/>
  <c r="D57" i="14"/>
  <c r="P71" i="14"/>
  <c r="P57" i="14"/>
  <c r="W71" i="14"/>
  <c r="W57" i="14"/>
  <c r="AB71" i="14"/>
  <c r="AK71" i="14"/>
  <c r="AK57" i="14"/>
  <c r="AO71" i="14"/>
  <c r="AO57" i="14"/>
  <c r="AU71" i="14"/>
  <c r="AU57" i="14"/>
  <c r="V43" i="14"/>
  <c r="O45" i="14"/>
  <c r="AM45" i="14"/>
  <c r="L46" i="14"/>
  <c r="AO51" i="14"/>
  <c r="O53" i="14"/>
  <c r="AM54" i="14"/>
  <c r="AA57" i="14"/>
  <c r="W60" i="14"/>
  <c r="AU48" i="13"/>
  <c r="AU56" i="13"/>
  <c r="AV60" i="13"/>
  <c r="AV57" i="13"/>
  <c r="AV52" i="13"/>
  <c r="AV69" i="13"/>
  <c r="AV39" i="13"/>
  <c r="AV51" i="13"/>
  <c r="AV55" i="13"/>
  <c r="AV59" i="13"/>
  <c r="AT34" i="13"/>
  <c r="AT38" i="13"/>
  <c r="AT42" i="13"/>
  <c r="AV48" i="13"/>
  <c r="AT50" i="13"/>
  <c r="AT54" i="13"/>
  <c r="AT58" i="13"/>
  <c r="AT62" i="13"/>
  <c r="AU63" i="13"/>
  <c r="AT64" i="13"/>
  <c r="AT68" i="13"/>
  <c r="AT72" i="13"/>
  <c r="AT76" i="13"/>
  <c r="AV43" i="13"/>
  <c r="AT31" i="13"/>
  <c r="AU34" i="13"/>
  <c r="AT35" i="13"/>
  <c r="AT51" i="13"/>
  <c r="AV63" i="13"/>
  <c r="AT65" i="13"/>
  <c r="AT69" i="13"/>
  <c r="AT73" i="13"/>
  <c r="AL31" i="13"/>
  <c r="AJ45" i="13"/>
  <c r="AL50" i="13"/>
  <c r="AN34" i="13"/>
  <c r="AM63" i="13"/>
  <c r="AK38" i="13"/>
  <c r="AJ71" i="13"/>
  <c r="AJ65" i="13"/>
  <c r="AJ67" i="13"/>
  <c r="M65" i="13"/>
  <c r="M47" i="13"/>
  <c r="Y76" i="13"/>
  <c r="L47" i="13"/>
  <c r="X72" i="13"/>
  <c r="N63" i="13"/>
  <c r="L31" i="13"/>
  <c r="X55" i="13"/>
  <c r="W55" i="13"/>
  <c r="X59" i="13"/>
  <c r="W59" i="13"/>
  <c r="L55" i="13"/>
  <c r="W51" i="13"/>
  <c r="L46" i="13"/>
  <c r="N45" i="13"/>
  <c r="N46" i="13"/>
  <c r="M46" i="13"/>
  <c r="X41" i="13"/>
  <c r="W41" i="13"/>
  <c r="X33" i="13"/>
  <c r="W33" i="13"/>
  <c r="X34" i="13"/>
  <c r="W34" i="13"/>
  <c r="X37" i="13"/>
  <c r="W37" i="13"/>
  <c r="W36" i="13"/>
  <c r="Y36" i="13"/>
  <c r="L37" i="13"/>
  <c r="L33" i="13"/>
  <c r="V51" i="13"/>
  <c r="AK72" i="13"/>
  <c r="AK63" i="13"/>
  <c r="V55" i="13"/>
  <c r="V41" i="13"/>
  <c r="Y64" i="13"/>
  <c r="V64" i="13"/>
  <c r="Y68" i="13"/>
  <c r="V68" i="13"/>
  <c r="AJ48" i="13"/>
  <c r="AK61" i="13"/>
  <c r="S56" i="13"/>
  <c r="V56" i="13"/>
  <c r="S69" i="13"/>
  <c r="V69" i="13"/>
  <c r="S54" i="13"/>
  <c r="V54" i="13"/>
  <c r="S57" i="13"/>
  <c r="V57" i="13"/>
  <c r="S60" i="13"/>
  <c r="V60" i="13"/>
  <c r="V33" i="13"/>
  <c r="V46" i="13"/>
  <c r="V59" i="13"/>
  <c r="S61" i="13"/>
  <c r="V61" i="13"/>
  <c r="V72" i="13"/>
  <c r="V45" i="13"/>
  <c r="V63" i="13"/>
  <c r="AK31" i="13"/>
  <c r="AM32" i="13"/>
  <c r="AL45" i="13"/>
  <c r="AJ46" i="13"/>
  <c r="AN46" i="13"/>
  <c r="AK48" i="13"/>
  <c r="AM49" i="13"/>
  <c r="AJ63" i="13"/>
  <c r="AN63" i="13"/>
  <c r="AL64" i="13"/>
  <c r="K47" i="13"/>
  <c r="K48" i="13"/>
  <c r="M67" i="13"/>
  <c r="M48" i="13"/>
  <c r="L63" i="13"/>
  <c r="N32" i="13"/>
  <c r="N36" i="13"/>
  <c r="N40" i="13"/>
  <c r="L48" i="13"/>
  <c r="N50" i="13"/>
  <c r="N58" i="13"/>
  <c r="N67" i="13"/>
  <c r="N71" i="13"/>
  <c r="N75" i="13"/>
  <c r="N31" i="13"/>
  <c r="N43" i="13"/>
  <c r="K45" i="13"/>
  <c r="N49" i="13"/>
  <c r="K63" i="13"/>
  <c r="N66" i="13"/>
  <c r="N70" i="13"/>
  <c r="N38" i="13"/>
  <c r="N47" i="13"/>
  <c r="N52" i="13"/>
  <c r="N44" i="13"/>
  <c r="N54" i="13"/>
  <c r="N62" i="13"/>
  <c r="N35" i="13"/>
  <c r="N39" i="13"/>
  <c r="N53" i="13"/>
  <c r="N57" i="13"/>
  <c r="N61" i="13"/>
  <c r="N74" i="13"/>
  <c r="N34" i="13"/>
  <c r="N42" i="13"/>
  <c r="N48" i="13"/>
  <c r="N56" i="13"/>
  <c r="N60" i="13"/>
  <c r="N65" i="13"/>
  <c r="N69" i="13"/>
  <c r="N73" i="13"/>
  <c r="L48" i="24"/>
  <c r="N59" i="24"/>
  <c r="K59" i="24"/>
  <c r="AL53" i="24"/>
  <c r="AJ53" i="24"/>
  <c r="AJ50" i="24"/>
  <c r="AL50" i="24"/>
  <c r="AB64" i="24"/>
  <c r="AB63" i="24"/>
  <c r="AB48" i="24"/>
  <c r="L64" i="24"/>
  <c r="L63" i="24"/>
  <c r="AA48" i="24"/>
  <c r="AJ73" i="24"/>
  <c r="AL73" i="24"/>
  <c r="K73" i="24"/>
  <c r="N73" i="24"/>
  <c r="AJ67" i="24"/>
  <c r="AL67" i="24"/>
  <c r="AL57" i="24"/>
  <c r="AJ57" i="24"/>
  <c r="K76" i="24"/>
  <c r="N76" i="24"/>
  <c r="AJ64" i="24"/>
  <c r="AL63" i="24"/>
  <c r="AJ63" i="24"/>
  <c r="AL64" i="24"/>
  <c r="K63" i="24"/>
  <c r="K64" i="24"/>
  <c r="N63" i="24"/>
  <c r="N64" i="24"/>
  <c r="K48" i="24"/>
  <c r="N51" i="24"/>
  <c r="K51" i="24"/>
  <c r="K75" i="24"/>
  <c r="N75" i="24"/>
  <c r="M63" i="24"/>
  <c r="M64" i="24"/>
  <c r="N52" i="24"/>
  <c r="AL55" i="24"/>
  <c r="AJ55" i="24"/>
  <c r="AJ71" i="24"/>
  <c r="AL71" i="24"/>
  <c r="K53" i="24"/>
  <c r="N53" i="24"/>
  <c r="K72" i="24"/>
  <c r="N72" i="24"/>
  <c r="K54" i="24"/>
  <c r="N54" i="24"/>
  <c r="AC64" i="24"/>
  <c r="AC63" i="24"/>
  <c r="AL48" i="24"/>
  <c r="K57" i="24"/>
  <c r="N57" i="24"/>
  <c r="AL62" i="24"/>
  <c r="AJ62" i="24"/>
  <c r="AJ48" i="24"/>
  <c r="Z48" i="24"/>
  <c r="N65" i="24"/>
  <c r="K65" i="24"/>
  <c r="AJ54" i="24"/>
  <c r="AL54" i="24"/>
  <c r="K60" i="24"/>
  <c r="N60" i="24"/>
  <c r="N74" i="24"/>
  <c r="AJ69" i="24"/>
  <c r="AL69" i="24"/>
  <c r="AJ61" i="24"/>
  <c r="AL61" i="24"/>
  <c r="AJ58" i="24"/>
  <c r="AL58" i="24"/>
  <c r="AJ60" i="24"/>
  <c r="AL60" i="24"/>
  <c r="AL59" i="24"/>
  <c r="AJ59" i="24"/>
  <c r="AJ66" i="24"/>
  <c r="AL66" i="24"/>
  <c r="N62" i="24"/>
  <c r="K62" i="24"/>
  <c r="K50" i="24"/>
  <c r="N50" i="24"/>
  <c r="AD48" i="24"/>
  <c r="AL65" i="24"/>
  <c r="AJ65" i="24"/>
  <c r="AA63" i="24"/>
  <c r="K69" i="24"/>
  <c r="N69" i="24"/>
  <c r="N70" i="24"/>
  <c r="K70" i="24"/>
  <c r="AL70" i="24"/>
  <c r="AJ70" i="24"/>
  <c r="AK64" i="24"/>
  <c r="AK63" i="24"/>
  <c r="AK48" i="24"/>
  <c r="K68" i="24"/>
  <c r="N68" i="24"/>
  <c r="K71" i="24"/>
  <c r="N71" i="24"/>
  <c r="AL76" i="24"/>
  <c r="AJ76" i="24"/>
  <c r="AD64" i="24"/>
  <c r="AD63" i="24"/>
  <c r="AL51" i="24"/>
  <c r="AJ51" i="24"/>
  <c r="AL68" i="24"/>
  <c r="AJ68" i="24"/>
  <c r="K67" i="24"/>
  <c r="N67" i="24"/>
  <c r="M48" i="24"/>
  <c r="AC48" i="24"/>
  <c r="G46" i="24"/>
  <c r="G45" i="24"/>
  <c r="N55" i="24"/>
  <c r="K55" i="24"/>
  <c r="K56" i="24"/>
  <c r="N56" i="24"/>
  <c r="N61" i="24"/>
  <c r="K58" i="24"/>
  <c r="N58" i="24"/>
  <c r="AJ56" i="24"/>
  <c r="AL56" i="24"/>
  <c r="AJ75" i="24"/>
  <c r="AL75" i="24"/>
  <c r="AL72" i="24"/>
  <c r="AJ72" i="24"/>
  <c r="AL74" i="24"/>
  <c r="AJ74" i="24"/>
  <c r="G76" i="8"/>
  <c r="E48" i="12"/>
  <c r="G59" i="12"/>
  <c r="G58" i="12"/>
  <c r="AF74" i="12"/>
  <c r="G60" i="12"/>
  <c r="O48" i="12"/>
  <c r="G57" i="12"/>
  <c r="P48" i="12"/>
  <c r="G67" i="12"/>
  <c r="AF58" i="12"/>
  <c r="AF60" i="12"/>
  <c r="AE48" i="12"/>
  <c r="R48" i="12"/>
  <c r="F48" i="12"/>
  <c r="G55" i="12"/>
  <c r="AD31" i="12"/>
  <c r="G71" i="12"/>
  <c r="G76" i="12"/>
  <c r="G69" i="12"/>
  <c r="S48" i="12"/>
  <c r="Q48" i="12"/>
  <c r="AF53" i="12"/>
  <c r="AF69" i="12"/>
  <c r="G65" i="12"/>
  <c r="AF75" i="12"/>
  <c r="AF62" i="12"/>
  <c r="G65" i="10"/>
  <c r="G59" i="10"/>
  <c r="G67" i="10"/>
  <c r="D48" i="10"/>
  <c r="O48" i="10"/>
  <c r="Q48" i="10"/>
  <c r="G62" i="10"/>
  <c r="P48" i="10"/>
  <c r="G68" i="10"/>
  <c r="G73" i="10"/>
  <c r="AE48" i="10"/>
  <c r="R48" i="10"/>
  <c r="F48" i="10"/>
  <c r="AI48" i="10"/>
  <c r="K48" i="10"/>
  <c r="G51" i="10"/>
  <c r="S48" i="10"/>
  <c r="AD48" i="10"/>
  <c r="E48" i="10"/>
  <c r="G45" i="10"/>
  <c r="AC64" i="12"/>
  <c r="AC63" i="12"/>
  <c r="P63" i="12"/>
  <c r="AI66" i="12"/>
  <c r="AK66" i="12"/>
  <c r="K66" i="12"/>
  <c r="N66" i="12"/>
  <c r="AK54" i="12"/>
  <c r="AI54" i="12"/>
  <c r="N54" i="12"/>
  <c r="K54" i="12"/>
  <c r="AI59" i="12"/>
  <c r="AK59" i="12"/>
  <c r="K59" i="12"/>
  <c r="N59" i="12"/>
  <c r="AI53" i="12"/>
  <c r="AK53" i="12"/>
  <c r="K53" i="12"/>
  <c r="N53" i="12"/>
  <c r="AK56" i="12"/>
  <c r="AI56" i="12"/>
  <c r="N56" i="12"/>
  <c r="K56" i="12"/>
  <c r="AI61" i="12"/>
  <c r="AK61" i="12"/>
  <c r="K61" i="12"/>
  <c r="N61" i="12"/>
  <c r="AF54" i="12"/>
  <c r="G31" i="12"/>
  <c r="AI57" i="12"/>
  <c r="AK57" i="12"/>
  <c r="K57" i="12"/>
  <c r="N57" i="12"/>
  <c r="AK62" i="12"/>
  <c r="AI62" i="12"/>
  <c r="K62" i="12"/>
  <c r="N62" i="12"/>
  <c r="AK50" i="12"/>
  <c r="AI50" i="12"/>
  <c r="N50" i="12"/>
  <c r="K50" i="12"/>
  <c r="AK48" i="12"/>
  <c r="Y48" i="12"/>
  <c r="N48" i="12"/>
  <c r="D48" i="12"/>
  <c r="G52" i="12"/>
  <c r="AK68" i="12"/>
  <c r="AI68" i="12"/>
  <c r="K68" i="12"/>
  <c r="N68" i="12"/>
  <c r="AI73" i="12"/>
  <c r="AK73" i="12"/>
  <c r="K73" i="12"/>
  <c r="N73" i="12"/>
  <c r="AI67" i="12"/>
  <c r="AK67" i="12"/>
  <c r="K67" i="12"/>
  <c r="N67" i="12"/>
  <c r="AF72" i="12"/>
  <c r="AE63" i="12"/>
  <c r="R63" i="12"/>
  <c r="F63" i="12"/>
  <c r="AK70" i="12"/>
  <c r="AI70" i="12"/>
  <c r="K70" i="12"/>
  <c r="N70" i="12"/>
  <c r="AI75" i="12"/>
  <c r="AK75" i="12"/>
  <c r="K75" i="12"/>
  <c r="N75" i="12"/>
  <c r="G72" i="12"/>
  <c r="G74" i="12"/>
  <c r="AF76" i="12"/>
  <c r="AJ63" i="12"/>
  <c r="AJ64" i="12"/>
  <c r="Z64" i="12"/>
  <c r="Z63" i="12"/>
  <c r="L63" i="12"/>
  <c r="L64" i="12"/>
  <c r="AD48" i="12"/>
  <c r="AF51" i="12"/>
  <c r="AF68" i="12"/>
  <c r="AF67" i="12"/>
  <c r="AF31" i="12"/>
  <c r="AI71" i="12"/>
  <c r="AK71" i="12"/>
  <c r="K71" i="12"/>
  <c r="N71" i="12"/>
  <c r="AK76" i="12"/>
  <c r="AI76" i="12"/>
  <c r="K76" i="12"/>
  <c r="N76" i="12"/>
  <c r="AI64" i="12"/>
  <c r="AK63" i="12"/>
  <c r="AK64" i="12"/>
  <c r="AI63" i="12"/>
  <c r="Y64" i="12"/>
  <c r="Y63" i="12"/>
  <c r="K64" i="12"/>
  <c r="N63" i="12"/>
  <c r="N64" i="12"/>
  <c r="K63" i="12"/>
  <c r="AI51" i="12"/>
  <c r="AK51" i="12"/>
  <c r="K51" i="12"/>
  <c r="N51" i="12"/>
  <c r="G66" i="12"/>
  <c r="D63" i="12"/>
  <c r="G54" i="12"/>
  <c r="G53" i="12"/>
  <c r="AB48" i="12"/>
  <c r="AF56" i="12"/>
  <c r="AI55" i="12"/>
  <c r="AK55" i="12"/>
  <c r="K55" i="12"/>
  <c r="N55" i="12"/>
  <c r="G56" i="12"/>
  <c r="G61" i="12"/>
  <c r="AK58" i="12"/>
  <c r="AI58" i="12"/>
  <c r="K58" i="12"/>
  <c r="N58" i="12"/>
  <c r="AK60" i="12"/>
  <c r="AI60" i="12"/>
  <c r="K60" i="12"/>
  <c r="N60" i="12"/>
  <c r="G45" i="12"/>
  <c r="AF57" i="12"/>
  <c r="AF50" i="12"/>
  <c r="L48" i="12"/>
  <c r="AF65" i="12"/>
  <c r="AF52" i="12"/>
  <c r="AF59" i="12"/>
  <c r="O63" i="12"/>
  <c r="G62" i="12"/>
  <c r="G50" i="12"/>
  <c r="AI48" i="12"/>
  <c r="AC48" i="12"/>
  <c r="K48" i="12"/>
  <c r="AK65" i="12"/>
  <c r="AI65" i="12"/>
  <c r="K65" i="12"/>
  <c r="N65" i="12"/>
  <c r="AK52" i="12"/>
  <c r="AI52" i="12"/>
  <c r="N52" i="12"/>
  <c r="K52" i="12"/>
  <c r="G73" i="12"/>
  <c r="AB64" i="12"/>
  <c r="AB63" i="12"/>
  <c r="AF70" i="12"/>
  <c r="AA64" i="12"/>
  <c r="AA63" i="12"/>
  <c r="M63" i="12"/>
  <c r="M64" i="12"/>
  <c r="AI69" i="12"/>
  <c r="AK69" i="12"/>
  <c r="K69" i="12"/>
  <c r="N69" i="12"/>
  <c r="AA48" i="12"/>
  <c r="M48" i="12"/>
  <c r="G70" i="12"/>
  <c r="G75" i="12"/>
  <c r="AK72" i="12"/>
  <c r="AI72" i="12"/>
  <c r="K72" i="12"/>
  <c r="N72" i="12"/>
  <c r="AK74" i="12"/>
  <c r="AI74" i="12"/>
  <c r="K74" i="12"/>
  <c r="N74" i="12"/>
  <c r="S63" i="12"/>
  <c r="AF61" i="12"/>
  <c r="AF71" i="12"/>
  <c r="AD63" i="12"/>
  <c r="AF64" i="12"/>
  <c r="Q63" i="12"/>
  <c r="E63" i="12"/>
  <c r="AJ48" i="12"/>
  <c r="Z48" i="12"/>
  <c r="AF66" i="12"/>
  <c r="AF73" i="12"/>
  <c r="AF55" i="12"/>
  <c r="AI71" i="10"/>
  <c r="AK71" i="10"/>
  <c r="K71" i="10"/>
  <c r="N71" i="10"/>
  <c r="AK76" i="10"/>
  <c r="AI76" i="10"/>
  <c r="K76" i="10"/>
  <c r="N76" i="10"/>
  <c r="AK64" i="10"/>
  <c r="AI63" i="10"/>
  <c r="AI64" i="10"/>
  <c r="AK63" i="10"/>
  <c r="Y64" i="10"/>
  <c r="Y63" i="10"/>
  <c r="N64" i="10"/>
  <c r="K63" i="10"/>
  <c r="K64" i="10"/>
  <c r="N63" i="10"/>
  <c r="N48" i="10"/>
  <c r="AI51" i="10"/>
  <c r="AK51" i="10"/>
  <c r="K51" i="10"/>
  <c r="N51" i="10"/>
  <c r="AK52" i="10"/>
  <c r="AI52" i="10"/>
  <c r="K52" i="10"/>
  <c r="N52" i="10"/>
  <c r="S63" i="10"/>
  <c r="AF70" i="10"/>
  <c r="AF75" i="10"/>
  <c r="AK55" i="10"/>
  <c r="AI55" i="10"/>
  <c r="N55" i="10"/>
  <c r="K55" i="10"/>
  <c r="G56" i="10"/>
  <c r="G61" i="10"/>
  <c r="AI58" i="10"/>
  <c r="AK58" i="10"/>
  <c r="K58" i="10"/>
  <c r="N58" i="10"/>
  <c r="G74" i="10"/>
  <c r="AF76" i="10"/>
  <c r="AJ63" i="10"/>
  <c r="AJ64" i="10"/>
  <c r="Z64" i="10"/>
  <c r="Z63" i="10"/>
  <c r="L63" i="10"/>
  <c r="L64" i="10"/>
  <c r="AF65" i="10"/>
  <c r="AF52" i="10"/>
  <c r="AF54" i="10"/>
  <c r="AF67" i="10"/>
  <c r="AF31" i="10"/>
  <c r="AC48" i="10"/>
  <c r="AI65" i="10"/>
  <c r="AK65" i="10"/>
  <c r="K65" i="10"/>
  <c r="N65" i="10"/>
  <c r="AK66" i="10"/>
  <c r="AI66" i="10"/>
  <c r="N66" i="10"/>
  <c r="K66" i="10"/>
  <c r="AI54" i="10"/>
  <c r="AK54" i="10"/>
  <c r="N54" i="10"/>
  <c r="K54" i="10"/>
  <c r="AK59" i="10"/>
  <c r="AI59" i="10"/>
  <c r="N59" i="10"/>
  <c r="K59" i="10"/>
  <c r="AI53" i="10"/>
  <c r="AK53" i="10"/>
  <c r="K53" i="10"/>
  <c r="N53" i="10"/>
  <c r="AF55" i="10"/>
  <c r="AF58" i="10"/>
  <c r="AF60" i="10"/>
  <c r="AA64" i="10"/>
  <c r="AA63" i="10"/>
  <c r="M63" i="10"/>
  <c r="M64" i="10"/>
  <c r="AI69" i="10"/>
  <c r="AK69" i="10"/>
  <c r="K69" i="10"/>
  <c r="N69" i="10"/>
  <c r="AA48" i="10"/>
  <c r="M48" i="10"/>
  <c r="G70" i="10"/>
  <c r="G75" i="10"/>
  <c r="AK72" i="10"/>
  <c r="AI72" i="10"/>
  <c r="K72" i="10"/>
  <c r="N72" i="10"/>
  <c r="AI60" i="10"/>
  <c r="AK60" i="10"/>
  <c r="K60" i="10"/>
  <c r="N60" i="10"/>
  <c r="AF57" i="10"/>
  <c r="AF50" i="10"/>
  <c r="Z48" i="10"/>
  <c r="L48" i="10"/>
  <c r="AF66" i="10"/>
  <c r="AF59" i="10"/>
  <c r="AC64" i="10"/>
  <c r="AC63" i="10"/>
  <c r="P63" i="10"/>
  <c r="AK68" i="10"/>
  <c r="AI68" i="10"/>
  <c r="K68" i="10"/>
  <c r="N68" i="10"/>
  <c r="AI73" i="10"/>
  <c r="AK73" i="10"/>
  <c r="K73" i="10"/>
  <c r="N73" i="10"/>
  <c r="AI67" i="10"/>
  <c r="AK67" i="10"/>
  <c r="K67" i="10"/>
  <c r="N67" i="10"/>
  <c r="AB64" i="10"/>
  <c r="AB63" i="10"/>
  <c r="O63" i="10"/>
  <c r="AF69" i="10"/>
  <c r="AF72" i="10"/>
  <c r="AF74" i="10"/>
  <c r="G55" i="10"/>
  <c r="AI56" i="10"/>
  <c r="AK56" i="10"/>
  <c r="K56" i="10"/>
  <c r="N56" i="10"/>
  <c r="AK61" i="10"/>
  <c r="AI61" i="10"/>
  <c r="N61" i="10"/>
  <c r="K61" i="10"/>
  <c r="G58" i="10"/>
  <c r="AK74" i="10"/>
  <c r="AI74" i="10"/>
  <c r="K74" i="10"/>
  <c r="N74" i="10"/>
  <c r="AF71" i="10"/>
  <c r="AD63" i="10"/>
  <c r="AF64" i="10"/>
  <c r="Q63" i="10"/>
  <c r="AJ48" i="10"/>
  <c r="AF73" i="10"/>
  <c r="G31" i="10"/>
  <c r="AK57" i="10"/>
  <c r="AI57" i="10"/>
  <c r="N57" i="10"/>
  <c r="K57" i="10"/>
  <c r="AI62" i="10"/>
  <c r="AK62" i="10"/>
  <c r="K62" i="10"/>
  <c r="N62" i="10"/>
  <c r="AK50" i="10"/>
  <c r="AI50" i="10"/>
  <c r="K50" i="10"/>
  <c r="N50" i="10"/>
  <c r="AK48" i="10"/>
  <c r="Y48" i="10"/>
  <c r="D63" i="10"/>
  <c r="G66" i="10"/>
  <c r="AB48" i="10"/>
  <c r="AF56" i="10"/>
  <c r="AF61" i="10"/>
  <c r="AE63" i="10"/>
  <c r="R63" i="10"/>
  <c r="F63" i="10"/>
  <c r="G69" i="10"/>
  <c r="AK70" i="10"/>
  <c r="AI70" i="10"/>
  <c r="K70" i="10"/>
  <c r="N70" i="10"/>
  <c r="AI75" i="10"/>
  <c r="AK75" i="10"/>
  <c r="K75" i="10"/>
  <c r="N75" i="10"/>
  <c r="G72" i="10"/>
  <c r="G60" i="10"/>
  <c r="G48" i="10"/>
  <c r="AF62" i="10"/>
  <c r="AF51" i="10"/>
  <c r="AF68" i="10"/>
  <c r="AF53" i="10"/>
  <c r="N52" i="8"/>
  <c r="K52" i="8"/>
  <c r="N54" i="8"/>
  <c r="K54" i="8"/>
  <c r="N62" i="8"/>
  <c r="K62" i="8"/>
  <c r="M63" i="8"/>
  <c r="M64" i="8"/>
  <c r="K73" i="8"/>
  <c r="N73" i="8"/>
  <c r="K57" i="8"/>
  <c r="N57" i="8"/>
  <c r="N50" i="8"/>
  <c r="K50" i="8"/>
  <c r="N51" i="8"/>
  <c r="K51" i="8"/>
  <c r="N66" i="8"/>
  <c r="K66" i="8"/>
  <c r="N68" i="8"/>
  <c r="K68" i="8"/>
  <c r="K53" i="8"/>
  <c r="N53" i="8"/>
  <c r="N55" i="8"/>
  <c r="K55" i="8"/>
  <c r="N72" i="8"/>
  <c r="K72" i="8"/>
  <c r="N74" i="8"/>
  <c r="K74" i="8"/>
  <c r="L48" i="8"/>
  <c r="K48" i="8"/>
  <c r="N59" i="8"/>
  <c r="K59" i="8"/>
  <c r="N76" i="8"/>
  <c r="K76" i="8"/>
  <c r="K61" i="8"/>
  <c r="N61" i="8"/>
  <c r="N71" i="8"/>
  <c r="K71" i="8"/>
  <c r="N63" i="8"/>
  <c r="N64" i="8"/>
  <c r="K63" i="8"/>
  <c r="K64" i="8"/>
  <c r="K65" i="8"/>
  <c r="N65" i="8"/>
  <c r="N67" i="8"/>
  <c r="K67" i="8"/>
  <c r="K69" i="8"/>
  <c r="N69" i="8"/>
  <c r="N56" i="8"/>
  <c r="K56" i="8"/>
  <c r="N48" i="8"/>
  <c r="K58" i="8"/>
  <c r="N58" i="8"/>
  <c r="N60" i="8"/>
  <c r="K60" i="8"/>
  <c r="L63" i="8"/>
  <c r="L64" i="8"/>
  <c r="N75" i="8"/>
  <c r="K75" i="8"/>
  <c r="N70" i="8"/>
  <c r="K70" i="8"/>
  <c r="M48" i="8"/>
  <c r="AD48" i="8"/>
  <c r="D48" i="8"/>
  <c r="O48" i="8"/>
  <c r="F48" i="8"/>
  <c r="P48" i="8"/>
  <c r="Q48" i="8"/>
  <c r="G62" i="8"/>
  <c r="F63" i="8"/>
  <c r="AF73" i="8"/>
  <c r="S48" i="8"/>
  <c r="R48" i="8"/>
  <c r="AF72" i="8"/>
  <c r="G72" i="8"/>
  <c r="AF74" i="8"/>
  <c r="AE48" i="8"/>
  <c r="E48" i="8"/>
  <c r="AF71" i="8"/>
  <c r="G71" i="8"/>
  <c r="AF67" i="8"/>
  <c r="G67" i="8"/>
  <c r="AF69" i="8"/>
  <c r="G69" i="8"/>
  <c r="AA63" i="8"/>
  <c r="AA64" i="8"/>
  <c r="AI73" i="8"/>
  <c r="AK73" i="8"/>
  <c r="AF64" i="8"/>
  <c r="AD63" i="8"/>
  <c r="G64" i="8"/>
  <c r="AC63" i="8"/>
  <c r="AC64" i="8"/>
  <c r="S63" i="8"/>
  <c r="AK55" i="8"/>
  <c r="AI55" i="8"/>
  <c r="AI58" i="8"/>
  <c r="AK58" i="8"/>
  <c r="AK76" i="8"/>
  <c r="AI76" i="8"/>
  <c r="AF61" i="8"/>
  <c r="G61" i="8"/>
  <c r="AB48" i="8"/>
  <c r="AK75" i="8"/>
  <c r="AI75" i="8"/>
  <c r="AI57" i="8"/>
  <c r="AK57" i="8"/>
  <c r="AK50" i="8"/>
  <c r="AI50" i="8"/>
  <c r="AF56" i="8"/>
  <c r="G56" i="8"/>
  <c r="AI52" i="8"/>
  <c r="AK52" i="8"/>
  <c r="AK68" i="8"/>
  <c r="AI68" i="8"/>
  <c r="G59" i="8"/>
  <c r="P63" i="8"/>
  <c r="AK65" i="8"/>
  <c r="AI65" i="8"/>
  <c r="G74" i="8"/>
  <c r="AI54" i="8"/>
  <c r="AK54" i="8"/>
  <c r="AI69" i="8"/>
  <c r="AK69" i="8"/>
  <c r="AJ48" i="8"/>
  <c r="Z48" i="8"/>
  <c r="AK56" i="8"/>
  <c r="AI56" i="8"/>
  <c r="AK72" i="8"/>
  <c r="AI72" i="8"/>
  <c r="AE63" i="8"/>
  <c r="R63" i="8"/>
  <c r="E63" i="8"/>
  <c r="AI48" i="8"/>
  <c r="Y48" i="8"/>
  <c r="AF75" i="8"/>
  <c r="G75" i="8"/>
  <c r="AF45" i="8"/>
  <c r="G45" i="8"/>
  <c r="AJ64" i="8"/>
  <c r="AJ63" i="8"/>
  <c r="Z64" i="8"/>
  <c r="Z63" i="8"/>
  <c r="AF51" i="8"/>
  <c r="G51" i="8"/>
  <c r="AF52" i="8"/>
  <c r="G52" i="8"/>
  <c r="AF54" i="8"/>
  <c r="G54" i="8"/>
  <c r="AF32" i="8"/>
  <c r="AF31" i="8"/>
  <c r="AD31" i="8"/>
  <c r="AK71" i="8"/>
  <c r="AI71" i="8"/>
  <c r="AI63" i="8"/>
  <c r="AK64" i="8"/>
  <c r="AK63" i="8"/>
  <c r="AI64" i="8"/>
  <c r="Y63" i="8"/>
  <c r="Y64" i="8"/>
  <c r="AF70" i="8"/>
  <c r="G70" i="8"/>
  <c r="AI66" i="8"/>
  <c r="AK66" i="8"/>
  <c r="AK53" i="8"/>
  <c r="AI53" i="8"/>
  <c r="G73" i="8"/>
  <c r="G31" i="8"/>
  <c r="AI74" i="8"/>
  <c r="AK74" i="8"/>
  <c r="AI62" i="8"/>
  <c r="AK62" i="8"/>
  <c r="AC48" i="8"/>
  <c r="Q63" i="8"/>
  <c r="AI61" i="8"/>
  <c r="AK61" i="8"/>
  <c r="AB63" i="8"/>
  <c r="AB64" i="8"/>
  <c r="O63" i="8"/>
  <c r="AI70" i="8"/>
  <c r="AK70" i="8"/>
  <c r="AK60" i="8"/>
  <c r="AI60" i="8"/>
  <c r="AK59" i="8"/>
  <c r="AI59" i="8"/>
  <c r="AF57" i="8"/>
  <c r="G57" i="8"/>
  <c r="AF50" i="8"/>
  <c r="G50" i="8"/>
  <c r="AF65" i="8"/>
  <c r="G65" i="8"/>
  <c r="AF66" i="8"/>
  <c r="G66" i="8"/>
  <c r="D63" i="8"/>
  <c r="AF68" i="8"/>
  <c r="G68" i="8"/>
  <c r="AF53" i="8"/>
  <c r="G53" i="8"/>
  <c r="AF55" i="8"/>
  <c r="G55" i="8"/>
  <c r="AA48" i="8"/>
  <c r="AI51" i="8"/>
  <c r="AK51" i="8"/>
  <c r="AF58" i="8"/>
  <c r="G58" i="8"/>
  <c r="AF60" i="8"/>
  <c r="G60" i="8"/>
  <c r="AI67" i="8"/>
  <c r="AK67" i="8"/>
  <c r="D31" i="8"/>
  <c r="Y71" i="27"/>
  <c r="V71" i="27"/>
  <c r="K69" i="27"/>
  <c r="N69" i="27"/>
  <c r="X48" i="27"/>
  <c r="N70" i="27"/>
  <c r="K70" i="27"/>
  <c r="V66" i="27"/>
  <c r="Y66" i="27"/>
  <c r="K58" i="27"/>
  <c r="N58" i="27"/>
  <c r="Y68" i="27"/>
  <c r="V68" i="27"/>
  <c r="V53" i="27"/>
  <c r="Y53" i="27"/>
  <c r="V56" i="27"/>
  <c r="Y56" i="27"/>
  <c r="X64" i="27"/>
  <c r="X63" i="27"/>
  <c r="L64" i="27"/>
  <c r="L63" i="27"/>
  <c r="K61" i="27"/>
  <c r="N61" i="27"/>
  <c r="V59" i="27"/>
  <c r="Y59" i="27"/>
  <c r="K57" i="27"/>
  <c r="N57" i="27"/>
  <c r="W64" i="27"/>
  <c r="W63" i="27"/>
  <c r="K64" i="27"/>
  <c r="N63" i="27"/>
  <c r="N64" i="27"/>
  <c r="K63" i="27"/>
  <c r="M48" i="27"/>
  <c r="K65" i="27"/>
  <c r="N65" i="27"/>
  <c r="Y75" i="27"/>
  <c r="V75" i="27"/>
  <c r="K66" i="27"/>
  <c r="N66" i="27"/>
  <c r="K72" i="27"/>
  <c r="N72" i="27"/>
  <c r="V67" i="27"/>
  <c r="Y67" i="27"/>
  <c r="V55" i="27"/>
  <c r="Y55" i="27"/>
  <c r="W48" i="27"/>
  <c r="V70" i="27"/>
  <c r="Y70" i="27"/>
  <c r="V58" i="27"/>
  <c r="Y58" i="27"/>
  <c r="K59" i="27"/>
  <c r="N59" i="27"/>
  <c r="V62" i="27"/>
  <c r="Y62" i="27"/>
  <c r="N75" i="27"/>
  <c r="K75" i="27"/>
  <c r="V73" i="27"/>
  <c r="Y73" i="27"/>
  <c r="N71" i="27"/>
  <c r="K71" i="27"/>
  <c r="Y50" i="27"/>
  <c r="V50" i="27"/>
  <c r="V51" i="27"/>
  <c r="Y51" i="27"/>
  <c r="N60" i="27"/>
  <c r="K60" i="27"/>
  <c r="K62" i="27"/>
  <c r="N62" i="27"/>
  <c r="M64" i="27"/>
  <c r="M63" i="27"/>
  <c r="V69" i="27"/>
  <c r="Y69" i="27"/>
  <c r="Y72" i="27"/>
  <c r="V72" i="27"/>
  <c r="V60" i="27"/>
  <c r="Y60" i="27"/>
  <c r="K73" i="27"/>
  <c r="N73" i="27"/>
  <c r="Y76" i="27"/>
  <c r="V76" i="27"/>
  <c r="Y48" i="27"/>
  <c r="K54" i="27"/>
  <c r="N54" i="27"/>
  <c r="N53" i="27"/>
  <c r="K53" i="27"/>
  <c r="Y57" i="27"/>
  <c r="V57" i="27"/>
  <c r="Y64" i="27"/>
  <c r="V64" i="27"/>
  <c r="Y63" i="27"/>
  <c r="V63" i="27"/>
  <c r="K55" i="27"/>
  <c r="N55" i="27"/>
  <c r="L48" i="27"/>
  <c r="V65" i="27"/>
  <c r="Y65" i="27"/>
  <c r="N56" i="27"/>
  <c r="K56" i="27"/>
  <c r="V52" i="27"/>
  <c r="Y52" i="27"/>
  <c r="N74" i="27"/>
  <c r="K74" i="27"/>
  <c r="Y54" i="27"/>
  <c r="V54" i="27"/>
  <c r="K76" i="27"/>
  <c r="N76" i="27"/>
  <c r="N48" i="27"/>
  <c r="V74" i="27"/>
  <c r="Y74" i="27"/>
  <c r="V48" i="27"/>
  <c r="K50" i="27"/>
  <c r="N50" i="27"/>
  <c r="K51" i="27"/>
  <c r="N51" i="27"/>
  <c r="Y61" i="27"/>
  <c r="V61" i="27"/>
  <c r="K52" i="27"/>
  <c r="N52" i="27"/>
  <c r="K68" i="27"/>
  <c r="N68" i="27"/>
  <c r="N67" i="27"/>
  <c r="K67" i="27"/>
  <c r="Z48" i="14"/>
  <c r="Z63" i="14"/>
  <c r="AC63" i="14"/>
  <c r="AB63" i="14"/>
  <c r="AD63" i="14"/>
  <c r="AA48" i="14"/>
  <c r="AA63" i="14"/>
  <c r="D31" i="14"/>
  <c r="AQ66" i="14"/>
  <c r="AQ68" i="14"/>
  <c r="G53" i="14"/>
  <c r="R75" i="14"/>
  <c r="G41" i="14"/>
  <c r="P31" i="14"/>
  <c r="AQ54" i="14"/>
  <c r="AT48" i="14"/>
  <c r="G65" i="14"/>
  <c r="G74" i="14"/>
  <c r="AQ53" i="14"/>
  <c r="R76" i="14"/>
  <c r="AQ71" i="14"/>
  <c r="AQ52" i="14"/>
  <c r="G69" i="14"/>
  <c r="AP48" i="14"/>
  <c r="G75" i="14"/>
  <c r="E48" i="14"/>
  <c r="G54" i="14"/>
  <c r="G70" i="14"/>
  <c r="AQ75" i="14"/>
  <c r="P45" i="14"/>
  <c r="AQ57" i="14"/>
  <c r="G57" i="14"/>
  <c r="G55" i="14"/>
  <c r="AQ70" i="14"/>
  <c r="P48" i="14"/>
  <c r="G50" i="14"/>
  <c r="AQ59" i="14"/>
  <c r="G59" i="14"/>
  <c r="V48" i="14"/>
  <c r="AN48" i="14"/>
  <c r="X48" i="14"/>
  <c r="K50" i="14"/>
  <c r="N50" i="14"/>
  <c r="AM48" i="14"/>
  <c r="AJ63" i="14"/>
  <c r="AJ64" i="14"/>
  <c r="R65" i="14"/>
  <c r="V55" i="14"/>
  <c r="Y55" i="14"/>
  <c r="W48" i="14"/>
  <c r="V70" i="14"/>
  <c r="Y70" i="14"/>
  <c r="R59" i="14"/>
  <c r="R53" i="14"/>
  <c r="AU64" i="14"/>
  <c r="AU63" i="14"/>
  <c r="AK64" i="14"/>
  <c r="AK63" i="14"/>
  <c r="W63" i="14"/>
  <c r="W64" i="14"/>
  <c r="K63" i="14"/>
  <c r="K64" i="14"/>
  <c r="N63" i="14"/>
  <c r="N64" i="14"/>
  <c r="R37" i="14"/>
  <c r="K51" i="14"/>
  <c r="N51" i="14"/>
  <c r="AV75" i="14"/>
  <c r="AT75" i="14"/>
  <c r="Y75" i="14"/>
  <c r="V75" i="14"/>
  <c r="K66" i="14"/>
  <c r="N66" i="14"/>
  <c r="K54" i="14"/>
  <c r="N54" i="14"/>
  <c r="AQ67" i="14"/>
  <c r="G67" i="14"/>
  <c r="G60" i="14"/>
  <c r="AT57" i="14"/>
  <c r="AV57" i="14"/>
  <c r="R57" i="14"/>
  <c r="R50" i="14"/>
  <c r="AQ55" i="14"/>
  <c r="AV51" i="14"/>
  <c r="AT51" i="14"/>
  <c r="V51" i="14"/>
  <c r="Y51" i="14"/>
  <c r="R52" i="14"/>
  <c r="AQ58" i="14"/>
  <c r="G58" i="14"/>
  <c r="AQ60" i="14"/>
  <c r="K60" i="14"/>
  <c r="N60" i="14"/>
  <c r="R54" i="14"/>
  <c r="AT53" i="14"/>
  <c r="AV53" i="14"/>
  <c r="AQ62" i="14"/>
  <c r="G62" i="14"/>
  <c r="AV55" i="14"/>
  <c r="AT55" i="14"/>
  <c r="V69" i="14"/>
  <c r="Y69" i="14"/>
  <c r="AU48" i="14"/>
  <c r="AK48" i="14"/>
  <c r="R56" i="14"/>
  <c r="AV72" i="14"/>
  <c r="AT72" i="14"/>
  <c r="Y72" i="14"/>
  <c r="V72" i="14"/>
  <c r="AT74" i="14"/>
  <c r="AV74" i="14"/>
  <c r="V74" i="14"/>
  <c r="Y74" i="14"/>
  <c r="AQ73" i="14"/>
  <c r="G73" i="14"/>
  <c r="G46" i="14"/>
  <c r="G45" i="14"/>
  <c r="D45" i="14"/>
  <c r="Y48" i="14"/>
  <c r="AV76" i="14"/>
  <c r="AT76" i="14"/>
  <c r="AP63" i="14"/>
  <c r="K75" i="14"/>
  <c r="N75" i="14"/>
  <c r="L63" i="14"/>
  <c r="L64" i="14"/>
  <c r="AQ46" i="14"/>
  <c r="AQ45" i="14"/>
  <c r="AO45" i="14"/>
  <c r="R73" i="14"/>
  <c r="G33" i="14"/>
  <c r="N72" i="14"/>
  <c r="K72" i="14"/>
  <c r="AT68" i="14"/>
  <c r="AV68" i="14"/>
  <c r="N76" i="14"/>
  <c r="K76" i="14"/>
  <c r="AV69" i="14"/>
  <c r="AT69" i="14"/>
  <c r="AV58" i="14"/>
  <c r="AT58" i="14"/>
  <c r="Y58" i="14"/>
  <c r="V58" i="14"/>
  <c r="AT60" i="14"/>
  <c r="AV60" i="14"/>
  <c r="AT62" i="14"/>
  <c r="AV62" i="14"/>
  <c r="AJ48" i="14"/>
  <c r="AQ51" i="14"/>
  <c r="G71" i="14"/>
  <c r="AQ50" i="14"/>
  <c r="K65" i="14"/>
  <c r="N65" i="14"/>
  <c r="R61" i="14"/>
  <c r="G52" i="14"/>
  <c r="K68" i="14"/>
  <c r="N68" i="14"/>
  <c r="N53" i="14"/>
  <c r="K53" i="14"/>
  <c r="AT52" i="14"/>
  <c r="AV52" i="14"/>
  <c r="AV71" i="14"/>
  <c r="AT71" i="14"/>
  <c r="R71" i="14"/>
  <c r="AN63" i="14"/>
  <c r="AN64" i="14"/>
  <c r="R64" i="14"/>
  <c r="AQ69" i="14"/>
  <c r="L48" i="14"/>
  <c r="AV65" i="14"/>
  <c r="AT65" i="14"/>
  <c r="V65" i="14"/>
  <c r="Y65" i="14"/>
  <c r="N70" i="14"/>
  <c r="R66" i="14"/>
  <c r="O63" i="14"/>
  <c r="AQ72" i="14"/>
  <c r="G72" i="14"/>
  <c r="AQ74" i="14"/>
  <c r="N74" i="14"/>
  <c r="K74" i="14"/>
  <c r="R68" i="14"/>
  <c r="AV67" i="14"/>
  <c r="AT67" i="14"/>
  <c r="AQ76" i="14"/>
  <c r="G76" i="14"/>
  <c r="M64" i="14"/>
  <c r="M63" i="14"/>
  <c r="R55" i="14"/>
  <c r="N48" i="14"/>
  <c r="R70" i="14"/>
  <c r="R58" i="14"/>
  <c r="R60" i="14"/>
  <c r="K59" i="14"/>
  <c r="N59" i="14"/>
  <c r="AV59" i="14"/>
  <c r="AT59" i="14"/>
  <c r="R32" i="14"/>
  <c r="R31" i="14"/>
  <c r="O31" i="14"/>
  <c r="N61" i="14"/>
  <c r="K61" i="14"/>
  <c r="G31" i="14"/>
  <c r="AL63" i="14"/>
  <c r="AL64" i="14"/>
  <c r="V59" i="14"/>
  <c r="Y59" i="14"/>
  <c r="K71" i="14"/>
  <c r="N71" i="14"/>
  <c r="AT61" i="14"/>
  <c r="AV61" i="14"/>
  <c r="V61" i="14"/>
  <c r="Y61" i="14"/>
  <c r="K52" i="14"/>
  <c r="N52" i="14"/>
  <c r="R45" i="14"/>
  <c r="Y71" i="14"/>
  <c r="V71" i="14"/>
  <c r="AT63" i="14"/>
  <c r="AV64" i="14"/>
  <c r="AV63" i="14"/>
  <c r="AT64" i="14"/>
  <c r="Y64" i="14"/>
  <c r="V63" i="14"/>
  <c r="Y63" i="14"/>
  <c r="V64" i="14"/>
  <c r="N69" i="14"/>
  <c r="K69" i="14"/>
  <c r="AL48" i="14"/>
  <c r="V66" i="14"/>
  <c r="Y66" i="14"/>
  <c r="V68" i="14"/>
  <c r="Y68" i="14"/>
  <c r="V67" i="14"/>
  <c r="Y67" i="14"/>
  <c r="AM63" i="14"/>
  <c r="AM64" i="14"/>
  <c r="AT70" i="14"/>
  <c r="AV70" i="14"/>
  <c r="V60" i="14"/>
  <c r="Y60" i="14"/>
  <c r="Y76" i="14"/>
  <c r="V76" i="14"/>
  <c r="E63" i="14"/>
  <c r="K56" i="14"/>
  <c r="N56" i="14"/>
  <c r="N57" i="14"/>
  <c r="K57" i="14"/>
  <c r="AQ64" i="14"/>
  <c r="AO63" i="14"/>
  <c r="P63" i="14"/>
  <c r="G64" i="14"/>
  <c r="G51" i="14"/>
  <c r="G66" i="14"/>
  <c r="D63" i="14"/>
  <c r="G68" i="14"/>
  <c r="N67" i="14"/>
  <c r="K67" i="14"/>
  <c r="AO31" i="14"/>
  <c r="AQ32" i="14"/>
  <c r="AQ31" i="14"/>
  <c r="V57" i="14"/>
  <c r="Y57" i="14"/>
  <c r="AV50" i="14"/>
  <c r="AT50" i="14"/>
  <c r="Y50" i="14"/>
  <c r="V50" i="14"/>
  <c r="K55" i="14"/>
  <c r="N55" i="14"/>
  <c r="R51" i="14"/>
  <c r="AQ56" i="14"/>
  <c r="G56" i="14"/>
  <c r="AV66" i="14"/>
  <c r="V52" i="14"/>
  <c r="Y52" i="14"/>
  <c r="K58" i="14"/>
  <c r="N58" i="14"/>
  <c r="AV54" i="14"/>
  <c r="AT54" i="14"/>
  <c r="Y54" i="14"/>
  <c r="V54" i="14"/>
  <c r="V53" i="14"/>
  <c r="Y53" i="14"/>
  <c r="M48" i="14"/>
  <c r="N62" i="14"/>
  <c r="K62" i="14"/>
  <c r="R69" i="14"/>
  <c r="AO48" i="14"/>
  <c r="K48" i="14"/>
  <c r="D48" i="14"/>
  <c r="AT56" i="14"/>
  <c r="AV56" i="14"/>
  <c r="V56" i="14"/>
  <c r="Y56" i="14"/>
  <c r="R72" i="14"/>
  <c r="R74" i="14"/>
  <c r="K73" i="14"/>
  <c r="N73" i="14"/>
  <c r="V62" i="14"/>
  <c r="Y62" i="14"/>
  <c r="AV48" i="14"/>
  <c r="AQ61" i="14"/>
  <c r="AV73" i="14"/>
  <c r="AT73" i="14"/>
  <c r="R62" i="14"/>
  <c r="X64" i="14"/>
  <c r="X63" i="14"/>
  <c r="R49" i="14"/>
  <c r="R48" i="14"/>
  <c r="O48" i="14"/>
  <c r="G61" i="14"/>
  <c r="V73" i="14"/>
  <c r="Y73" i="14"/>
  <c r="X75" i="13"/>
  <c r="X73" i="13"/>
  <c r="X74" i="13"/>
  <c r="X70" i="13"/>
  <c r="X71" i="13"/>
  <c r="X69" i="13"/>
  <c r="X66" i="13"/>
  <c r="X67" i="13"/>
  <c r="X36" i="13"/>
  <c r="Y72" i="13"/>
  <c r="Y55" i="13"/>
  <c r="Y34" i="13"/>
  <c r="Y41" i="13"/>
  <c r="X54" i="13"/>
  <c r="X56" i="13"/>
  <c r="W56" i="13"/>
  <c r="X60" i="13"/>
  <c r="W60" i="13"/>
  <c r="X61" i="13"/>
  <c r="X52" i="13"/>
  <c r="Y59" i="13"/>
  <c r="X53" i="13"/>
  <c r="X50" i="13"/>
  <c r="X57" i="13"/>
  <c r="X62" i="13"/>
  <c r="X58" i="13"/>
  <c r="Y51" i="13"/>
  <c r="X47" i="13"/>
  <c r="X44" i="13"/>
  <c r="X35" i="13"/>
  <c r="W43" i="13"/>
  <c r="X40" i="13"/>
  <c r="Y37" i="13"/>
  <c r="X42" i="13"/>
  <c r="Y33" i="13"/>
  <c r="X39" i="13"/>
  <c r="X38" i="13"/>
  <c r="X32" i="13"/>
  <c r="V48" i="13"/>
  <c r="Y56" i="13"/>
  <c r="G48" i="12"/>
  <c r="AF48" i="12"/>
  <c r="G63" i="12"/>
  <c r="G63" i="10"/>
  <c r="AF48" i="10"/>
  <c r="AF63" i="12"/>
  <c r="AF63" i="10"/>
  <c r="G48" i="8"/>
  <c r="AF48" i="8"/>
  <c r="AF63" i="8"/>
  <c r="G63" i="8"/>
  <c r="R63" i="14"/>
  <c r="G48" i="14"/>
  <c r="G63" i="14"/>
  <c r="AQ48" i="14"/>
  <c r="AQ63" i="14"/>
  <c r="W63" i="13"/>
  <c r="Y63" i="13"/>
  <c r="Y65" i="13"/>
  <c r="W65" i="13"/>
  <c r="W67" i="13"/>
  <c r="Y67" i="13"/>
  <c r="W69" i="13"/>
  <c r="Y69" i="13"/>
  <c r="W73" i="13"/>
  <c r="Y73" i="13"/>
  <c r="X65" i="13"/>
  <c r="X63" i="13"/>
  <c r="W70" i="13"/>
  <c r="Y70" i="13"/>
  <c r="W71" i="13"/>
  <c r="Y71" i="13"/>
  <c r="W75" i="13"/>
  <c r="Y75" i="13"/>
  <c r="W66" i="13"/>
  <c r="Y66" i="13"/>
  <c r="W74" i="13"/>
  <c r="Y74" i="13"/>
  <c r="W62" i="13"/>
  <c r="Y62" i="13"/>
  <c r="W50" i="13"/>
  <c r="Y50" i="13"/>
  <c r="W49" i="13"/>
  <c r="Y49" i="13"/>
  <c r="W48" i="13"/>
  <c r="Y48" i="13"/>
  <c r="W57" i="13"/>
  <c r="Y57" i="13"/>
  <c r="W53" i="13"/>
  <c r="Y53" i="13"/>
  <c r="W52" i="13"/>
  <c r="Y52" i="13"/>
  <c r="X48" i="13"/>
  <c r="X49" i="13"/>
  <c r="Y60" i="13"/>
  <c r="W58" i="13"/>
  <c r="Y58" i="13"/>
  <c r="W61" i="13"/>
  <c r="Y61" i="13"/>
  <c r="W54" i="13"/>
  <c r="Y54" i="13"/>
  <c r="W46" i="13"/>
  <c r="Y45" i="13"/>
  <c r="Y46" i="13"/>
  <c r="W45" i="13"/>
  <c r="X46" i="13"/>
  <c r="X45" i="13"/>
  <c r="W47" i="13"/>
  <c r="Y47" i="13"/>
  <c r="W42" i="13"/>
  <c r="Y42" i="13"/>
  <c r="W35" i="13"/>
  <c r="Y35" i="13"/>
  <c r="W31" i="13"/>
  <c r="W39" i="13"/>
  <c r="Y39" i="13"/>
  <c r="Y44" i="13"/>
  <c r="W44" i="13"/>
  <c r="W38" i="13"/>
  <c r="Y38" i="13"/>
  <c r="W40" i="13"/>
  <c r="Y40" i="13"/>
  <c r="Y32" i="13"/>
  <c r="W32" i="13"/>
  <c r="X43" i="13"/>
  <c r="X31" i="13"/>
  <c r="Y31" i="13"/>
  <c r="Y43" i="13"/>
  <c r="K3" i="3"/>
  <c r="H3" i="3"/>
  <c r="E3" i="3"/>
  <c r="N3" i="30"/>
  <c r="K3" i="30"/>
  <c r="H3" i="30"/>
  <c r="E3" i="30"/>
  <c r="D2" i="7"/>
  <c r="Q7" i="30"/>
  <c r="Q2" i="30"/>
  <c r="AA9" i="1"/>
  <c r="F6" i="11"/>
  <c r="F47" i="11"/>
  <c r="F10" i="11"/>
  <c r="F46" i="11"/>
  <c r="F45" i="11"/>
  <c r="N30" i="11"/>
  <c r="N35" i="11"/>
  <c r="M30" i="11"/>
  <c r="M35" i="11"/>
  <c r="O35" i="11"/>
  <c r="L30" i="11"/>
  <c r="L35" i="11"/>
  <c r="K30" i="11"/>
  <c r="K35" i="11"/>
  <c r="J30" i="11"/>
  <c r="J35" i="11"/>
  <c r="I30" i="11"/>
  <c r="I35" i="11"/>
  <c r="H30" i="11"/>
  <c r="H35" i="11"/>
  <c r="F30" i="11"/>
  <c r="F35" i="11"/>
  <c r="D30" i="11"/>
  <c r="D35" i="11"/>
  <c r="N29" i="11"/>
  <c r="M29" i="11"/>
  <c r="L29" i="11"/>
  <c r="K29" i="11"/>
  <c r="J29" i="11"/>
  <c r="I29" i="11"/>
  <c r="H29" i="11"/>
  <c r="F29" i="11"/>
  <c r="D29" i="11"/>
  <c r="N28" i="11"/>
  <c r="N43" i="11"/>
  <c r="M28" i="11"/>
  <c r="M43" i="11"/>
  <c r="O43" i="11"/>
  <c r="L28" i="11"/>
  <c r="L43" i="11"/>
  <c r="K28" i="11"/>
  <c r="K43" i="11"/>
  <c r="J28" i="11"/>
  <c r="J43" i="11"/>
  <c r="I28" i="11"/>
  <c r="I43" i="11"/>
  <c r="H28" i="11"/>
  <c r="H43" i="11"/>
  <c r="F28" i="11"/>
  <c r="F43" i="11"/>
  <c r="D28" i="11"/>
  <c r="D43" i="11"/>
  <c r="N27" i="11"/>
  <c r="M27" i="11"/>
  <c r="L27" i="11"/>
  <c r="K27" i="11"/>
  <c r="J27" i="11"/>
  <c r="I27" i="11"/>
  <c r="H27" i="11"/>
  <c r="F27" i="11"/>
  <c r="D27" i="11"/>
  <c r="N26" i="11"/>
  <c r="N36" i="11"/>
  <c r="M26" i="11"/>
  <c r="M36" i="11"/>
  <c r="O36" i="11"/>
  <c r="L26" i="11"/>
  <c r="L36" i="11"/>
  <c r="K26" i="11"/>
  <c r="K36" i="11"/>
  <c r="J26" i="11"/>
  <c r="J36" i="11"/>
  <c r="I26" i="11"/>
  <c r="I36" i="11"/>
  <c r="H26" i="11"/>
  <c r="H36" i="11"/>
  <c r="F26" i="11"/>
  <c r="F36" i="11"/>
  <c r="D26" i="11"/>
  <c r="D36" i="11"/>
  <c r="N25" i="11"/>
  <c r="M25" i="11"/>
  <c r="L25" i="11"/>
  <c r="K25" i="11"/>
  <c r="J25" i="11"/>
  <c r="I25" i="11"/>
  <c r="H25" i="11"/>
  <c r="F25" i="11"/>
  <c r="D25" i="11"/>
  <c r="N24" i="11"/>
  <c r="M24" i="11"/>
  <c r="L24" i="11"/>
  <c r="K24" i="11"/>
  <c r="J24" i="11"/>
  <c r="I24" i="11"/>
  <c r="H24" i="11"/>
  <c r="F24" i="11"/>
  <c r="D24" i="11"/>
  <c r="N23" i="11"/>
  <c r="N49" i="11"/>
  <c r="M23" i="11"/>
  <c r="M49" i="11"/>
  <c r="L23" i="11"/>
  <c r="L49" i="11"/>
  <c r="K23" i="11"/>
  <c r="K49" i="11"/>
  <c r="J23" i="11"/>
  <c r="J49" i="11"/>
  <c r="I23" i="11"/>
  <c r="I49" i="11"/>
  <c r="H23" i="11"/>
  <c r="H49" i="11"/>
  <c r="F23" i="11"/>
  <c r="F49" i="11"/>
  <c r="D23" i="11"/>
  <c r="D49" i="11"/>
  <c r="N22" i="11"/>
  <c r="N37" i="11"/>
  <c r="M22" i="11"/>
  <c r="M37" i="11"/>
  <c r="O37" i="11"/>
  <c r="L22" i="11"/>
  <c r="L37" i="11"/>
  <c r="K22" i="11"/>
  <c r="K37" i="11"/>
  <c r="J22" i="11"/>
  <c r="J37" i="11"/>
  <c r="I22" i="11"/>
  <c r="I37" i="11"/>
  <c r="H22" i="11"/>
  <c r="H37" i="11"/>
  <c r="F22" i="11"/>
  <c r="F37" i="11"/>
  <c r="D22" i="11"/>
  <c r="D37" i="11"/>
  <c r="N21" i="11"/>
  <c r="M21" i="11"/>
  <c r="L21" i="11"/>
  <c r="K21" i="11"/>
  <c r="J21" i="11"/>
  <c r="I21" i="11"/>
  <c r="H21" i="11"/>
  <c r="F21" i="11"/>
  <c r="D21" i="11"/>
  <c r="N20" i="11"/>
  <c r="M20" i="11"/>
  <c r="L20" i="11"/>
  <c r="K20" i="11"/>
  <c r="J20" i="11"/>
  <c r="I20" i="11"/>
  <c r="H20" i="11"/>
  <c r="F20" i="11"/>
  <c r="D20" i="11"/>
  <c r="N19" i="11"/>
  <c r="N42" i="11"/>
  <c r="M19" i="11"/>
  <c r="M42" i="11"/>
  <c r="L19" i="11"/>
  <c r="L42" i="11"/>
  <c r="K19" i="11"/>
  <c r="K42" i="11"/>
  <c r="J19" i="11"/>
  <c r="J42" i="11"/>
  <c r="I19" i="11"/>
  <c r="I42" i="11"/>
  <c r="H19" i="11"/>
  <c r="H42" i="11"/>
  <c r="F19" i="11"/>
  <c r="F42" i="11"/>
  <c r="D19" i="11"/>
  <c r="D42" i="11"/>
  <c r="N18" i="11"/>
  <c r="M18" i="11"/>
  <c r="L18" i="11"/>
  <c r="K18" i="11"/>
  <c r="J18" i="11"/>
  <c r="I18" i="11"/>
  <c r="H18" i="11"/>
  <c r="F18" i="11"/>
  <c r="D18" i="11"/>
  <c r="N17" i="11"/>
  <c r="M17" i="11"/>
  <c r="L17" i="11"/>
  <c r="K17" i="11"/>
  <c r="J17" i="11"/>
  <c r="I17" i="11"/>
  <c r="H17" i="11"/>
  <c r="F17" i="11"/>
  <c r="D17" i="11"/>
  <c r="N16" i="11"/>
  <c r="M16" i="11"/>
  <c r="L16" i="11"/>
  <c r="K16" i="11"/>
  <c r="J16" i="11"/>
  <c r="I16" i="11"/>
  <c r="H16" i="11"/>
  <c r="F16" i="11"/>
  <c r="D16" i="11"/>
  <c r="N15" i="11"/>
  <c r="N44" i="11"/>
  <c r="M15" i="11"/>
  <c r="M44" i="11"/>
  <c r="L15" i="11"/>
  <c r="L44" i="11"/>
  <c r="K15" i="11"/>
  <c r="K44" i="11"/>
  <c r="J15" i="11"/>
  <c r="J44" i="11"/>
  <c r="I15" i="11"/>
  <c r="I44" i="11"/>
  <c r="H15" i="11"/>
  <c r="H44" i="11"/>
  <c r="F15" i="11"/>
  <c r="F44" i="11"/>
  <c r="D15" i="11"/>
  <c r="D44" i="11"/>
  <c r="N14" i="11"/>
  <c r="N34" i="11"/>
  <c r="M14" i="11"/>
  <c r="M34" i="11"/>
  <c r="L14" i="11"/>
  <c r="L34" i="11"/>
  <c r="K14" i="11"/>
  <c r="K34" i="11"/>
  <c r="J14" i="11"/>
  <c r="J34" i="11"/>
  <c r="I14" i="11"/>
  <c r="I34" i="11"/>
  <c r="H14" i="11"/>
  <c r="H34" i="11"/>
  <c r="F14" i="11"/>
  <c r="F34" i="11"/>
  <c r="D14" i="11"/>
  <c r="D34" i="11"/>
  <c r="N13" i="11"/>
  <c r="N33" i="11"/>
  <c r="M13" i="11"/>
  <c r="M33" i="11"/>
  <c r="O33" i="11"/>
  <c r="L13" i="11"/>
  <c r="L33" i="11"/>
  <c r="K13" i="11"/>
  <c r="K33" i="11"/>
  <c r="J13" i="11"/>
  <c r="J33" i="11"/>
  <c r="I13" i="11"/>
  <c r="I33" i="11"/>
  <c r="H13" i="11"/>
  <c r="H33" i="11"/>
  <c r="F13" i="11"/>
  <c r="F33" i="11"/>
  <c r="D13" i="11"/>
  <c r="D33" i="11"/>
  <c r="N12" i="11"/>
  <c r="M12" i="11"/>
  <c r="L12" i="11"/>
  <c r="K12" i="11"/>
  <c r="J12" i="11"/>
  <c r="I12" i="11"/>
  <c r="H12" i="11"/>
  <c r="F12" i="11"/>
  <c r="D12" i="11"/>
  <c r="N11" i="11"/>
  <c r="N39" i="11"/>
  <c r="M11" i="11"/>
  <c r="M39" i="11"/>
  <c r="L11" i="11"/>
  <c r="L39" i="11"/>
  <c r="K11" i="11"/>
  <c r="K39" i="11"/>
  <c r="J11" i="11"/>
  <c r="J39" i="11"/>
  <c r="I11" i="11"/>
  <c r="I39" i="11"/>
  <c r="H11" i="11"/>
  <c r="H39" i="11"/>
  <c r="F11" i="11"/>
  <c r="F39" i="11"/>
  <c r="D11" i="11"/>
  <c r="D39" i="11"/>
  <c r="N10" i="11"/>
  <c r="N46" i="11"/>
  <c r="M10" i="11"/>
  <c r="M46" i="11"/>
  <c r="L10" i="11"/>
  <c r="L46" i="11"/>
  <c r="K10" i="11"/>
  <c r="K46" i="11"/>
  <c r="J10" i="11"/>
  <c r="J46" i="11"/>
  <c r="I10" i="11"/>
  <c r="I46" i="11"/>
  <c r="H10" i="11"/>
  <c r="H46" i="11"/>
  <c r="D10" i="11"/>
  <c r="D46" i="11"/>
  <c r="N9" i="11"/>
  <c r="M9" i="11"/>
  <c r="L9" i="11"/>
  <c r="K9" i="11"/>
  <c r="J9" i="11"/>
  <c r="I9" i="11"/>
  <c r="H9" i="11"/>
  <c r="F9" i="11"/>
  <c r="D9" i="11"/>
  <c r="N8" i="11"/>
  <c r="N41" i="11"/>
  <c r="M8" i="11"/>
  <c r="M41" i="11"/>
  <c r="O41" i="11"/>
  <c r="L8" i="11"/>
  <c r="L41" i="11"/>
  <c r="K8" i="11"/>
  <c r="K41" i="11"/>
  <c r="J8" i="11"/>
  <c r="J41" i="11"/>
  <c r="I8" i="11"/>
  <c r="I41" i="11"/>
  <c r="H8" i="11"/>
  <c r="H41" i="11"/>
  <c r="F8" i="11"/>
  <c r="F41" i="11"/>
  <c r="D8" i="11"/>
  <c r="D41" i="11"/>
  <c r="N7" i="11"/>
  <c r="M7" i="11"/>
  <c r="L7" i="11"/>
  <c r="K7" i="11"/>
  <c r="J7" i="11"/>
  <c r="I7" i="11"/>
  <c r="H7" i="11"/>
  <c r="F7" i="11"/>
  <c r="D7" i="11"/>
  <c r="N6" i="11"/>
  <c r="N47" i="11"/>
  <c r="M6" i="11"/>
  <c r="M47" i="11"/>
  <c r="L6" i="11"/>
  <c r="L47" i="11"/>
  <c r="K6" i="11"/>
  <c r="K47" i="11"/>
  <c r="J6" i="11"/>
  <c r="J47" i="11"/>
  <c r="I6" i="11"/>
  <c r="I47" i="11"/>
  <c r="H6" i="11"/>
  <c r="H47" i="11"/>
  <c r="D6" i="11"/>
  <c r="D47" i="11"/>
  <c r="N5" i="11"/>
  <c r="M5" i="11"/>
  <c r="L5" i="11"/>
  <c r="K5" i="11"/>
  <c r="J5" i="11"/>
  <c r="I5" i="11"/>
  <c r="H5" i="11"/>
  <c r="F5" i="11"/>
  <c r="D5" i="11"/>
  <c r="N4" i="11"/>
  <c r="N40" i="11"/>
  <c r="M4" i="11"/>
  <c r="M40" i="11"/>
  <c r="L4" i="11"/>
  <c r="L40" i="11"/>
  <c r="K4" i="11"/>
  <c r="K40" i="11"/>
  <c r="J4" i="11"/>
  <c r="J40" i="11"/>
  <c r="I4" i="11"/>
  <c r="I40" i="11"/>
  <c r="H4" i="11"/>
  <c r="H40" i="11"/>
  <c r="F4" i="11"/>
  <c r="F40" i="11"/>
  <c r="D4" i="11"/>
  <c r="D40" i="11"/>
  <c r="N2" i="11"/>
  <c r="N38" i="11"/>
  <c r="M2" i="11"/>
  <c r="M38" i="11"/>
  <c r="O38" i="11"/>
  <c r="L2" i="11"/>
  <c r="L38" i="11"/>
  <c r="K2" i="11"/>
  <c r="K38" i="11"/>
  <c r="J2" i="11"/>
  <c r="J38" i="11"/>
  <c r="I2" i="11"/>
  <c r="I38" i="11"/>
  <c r="H2" i="11"/>
  <c r="H38" i="11"/>
  <c r="F2" i="11"/>
  <c r="F38" i="11"/>
  <c r="D2" i="11"/>
  <c r="D38" i="11"/>
  <c r="N35" i="9"/>
  <c r="M35" i="9"/>
  <c r="O35" i="9"/>
  <c r="L30" i="9"/>
  <c r="L35" i="9"/>
  <c r="K30" i="9"/>
  <c r="K35" i="9"/>
  <c r="J30" i="9"/>
  <c r="J35" i="9"/>
  <c r="I30" i="9"/>
  <c r="I35" i="9"/>
  <c r="H30" i="9"/>
  <c r="H35" i="9"/>
  <c r="F30" i="9"/>
  <c r="F35" i="9"/>
  <c r="D30" i="9"/>
  <c r="D35" i="9"/>
  <c r="L29" i="9"/>
  <c r="K29" i="9"/>
  <c r="J29" i="9"/>
  <c r="I29" i="9"/>
  <c r="H29" i="9"/>
  <c r="F29" i="9"/>
  <c r="D29" i="9"/>
  <c r="N43" i="9"/>
  <c r="M43" i="9"/>
  <c r="O43" i="9"/>
  <c r="L28" i="9"/>
  <c r="L43" i="9"/>
  <c r="K28" i="9"/>
  <c r="K43" i="9"/>
  <c r="J28" i="9"/>
  <c r="J43" i="9"/>
  <c r="I28" i="9"/>
  <c r="I43" i="9"/>
  <c r="H28" i="9"/>
  <c r="H43" i="9"/>
  <c r="F28" i="9"/>
  <c r="F43" i="9"/>
  <c r="D28" i="9"/>
  <c r="D43" i="9"/>
  <c r="L27" i="9"/>
  <c r="K27" i="9"/>
  <c r="J27" i="9"/>
  <c r="I27" i="9"/>
  <c r="H27" i="9"/>
  <c r="F27" i="9"/>
  <c r="D27" i="9"/>
  <c r="N36" i="9"/>
  <c r="M36" i="9"/>
  <c r="O36" i="9"/>
  <c r="L26" i="9"/>
  <c r="L36" i="9"/>
  <c r="K26" i="9"/>
  <c r="K36" i="9"/>
  <c r="J26" i="9"/>
  <c r="J36" i="9"/>
  <c r="I26" i="9"/>
  <c r="I36" i="9"/>
  <c r="H26" i="9"/>
  <c r="H36" i="9"/>
  <c r="F26" i="9"/>
  <c r="F36" i="9"/>
  <c r="D26" i="9"/>
  <c r="D36" i="9"/>
  <c r="L25" i="9"/>
  <c r="K25" i="9"/>
  <c r="J25" i="9"/>
  <c r="I25" i="9"/>
  <c r="H25" i="9"/>
  <c r="F25" i="9"/>
  <c r="D25" i="9"/>
  <c r="L24" i="9"/>
  <c r="K24" i="9"/>
  <c r="J24" i="9"/>
  <c r="I24" i="9"/>
  <c r="H24" i="9"/>
  <c r="F24" i="9"/>
  <c r="D24" i="9"/>
  <c r="N49" i="9"/>
  <c r="M49" i="9"/>
  <c r="L23" i="9"/>
  <c r="L49" i="9"/>
  <c r="K23" i="9"/>
  <c r="K49" i="9"/>
  <c r="J23" i="9"/>
  <c r="J49" i="9"/>
  <c r="I23" i="9"/>
  <c r="I49" i="9"/>
  <c r="H23" i="9"/>
  <c r="H49" i="9"/>
  <c r="F23" i="9"/>
  <c r="F49" i="9"/>
  <c r="D23" i="9"/>
  <c r="D49" i="9"/>
  <c r="N37" i="9"/>
  <c r="M37" i="9"/>
  <c r="O37" i="9"/>
  <c r="L22" i="9"/>
  <c r="L37" i="9"/>
  <c r="K22" i="9"/>
  <c r="K37" i="9"/>
  <c r="J22" i="9"/>
  <c r="J37" i="9"/>
  <c r="I22" i="9"/>
  <c r="I37" i="9"/>
  <c r="H22" i="9"/>
  <c r="H37" i="9"/>
  <c r="F22" i="9"/>
  <c r="F37" i="9"/>
  <c r="D22" i="9"/>
  <c r="D37" i="9"/>
  <c r="L21" i="9"/>
  <c r="K21" i="9"/>
  <c r="J21" i="9"/>
  <c r="I21" i="9"/>
  <c r="H21" i="9"/>
  <c r="F21" i="9"/>
  <c r="D21" i="9"/>
  <c r="L20" i="9"/>
  <c r="K20" i="9"/>
  <c r="J20" i="9"/>
  <c r="I20" i="9"/>
  <c r="H20" i="9"/>
  <c r="F20" i="9"/>
  <c r="D20" i="9"/>
  <c r="N42" i="9"/>
  <c r="M42" i="9"/>
  <c r="O42" i="9"/>
  <c r="L19" i="9"/>
  <c r="L42" i="9"/>
  <c r="K19" i="9"/>
  <c r="K42" i="9"/>
  <c r="J19" i="9"/>
  <c r="J42" i="9"/>
  <c r="I19" i="9"/>
  <c r="I42" i="9"/>
  <c r="H19" i="9"/>
  <c r="H42" i="9"/>
  <c r="F19" i="9"/>
  <c r="F42" i="9"/>
  <c r="D19" i="9"/>
  <c r="D42" i="9"/>
  <c r="L18" i="9"/>
  <c r="K18" i="9"/>
  <c r="J18" i="9"/>
  <c r="I18" i="9"/>
  <c r="H18" i="9"/>
  <c r="F18" i="9"/>
  <c r="D18" i="9"/>
  <c r="L17" i="9"/>
  <c r="K17" i="9"/>
  <c r="J17" i="9"/>
  <c r="I17" i="9"/>
  <c r="H17" i="9"/>
  <c r="F17" i="9"/>
  <c r="D17" i="9"/>
  <c r="L16" i="9"/>
  <c r="K16" i="9"/>
  <c r="J16" i="9"/>
  <c r="I16" i="9"/>
  <c r="H16" i="9"/>
  <c r="F16" i="9"/>
  <c r="D16" i="9"/>
  <c r="N44" i="9"/>
  <c r="M44" i="9"/>
  <c r="L15" i="9"/>
  <c r="L44" i="9"/>
  <c r="K15" i="9"/>
  <c r="K44" i="9"/>
  <c r="J15" i="9"/>
  <c r="J44" i="9"/>
  <c r="I15" i="9"/>
  <c r="I44" i="9"/>
  <c r="H15" i="9"/>
  <c r="H44" i="9"/>
  <c r="F15" i="9"/>
  <c r="F44" i="9"/>
  <c r="D15" i="9"/>
  <c r="D44" i="9"/>
  <c r="N34" i="9"/>
  <c r="M34" i="9"/>
  <c r="O34" i="9"/>
  <c r="L14" i="9"/>
  <c r="L34" i="9"/>
  <c r="K14" i="9"/>
  <c r="K34" i="9"/>
  <c r="J14" i="9"/>
  <c r="J34" i="9"/>
  <c r="I14" i="9"/>
  <c r="I34" i="9"/>
  <c r="H14" i="9"/>
  <c r="H34" i="9"/>
  <c r="F14" i="9"/>
  <c r="F34" i="9"/>
  <c r="D14" i="9"/>
  <c r="D34" i="9"/>
  <c r="N33" i="9"/>
  <c r="M33" i="9"/>
  <c r="L13" i="9"/>
  <c r="L33" i="9"/>
  <c r="K13" i="9"/>
  <c r="K33" i="9"/>
  <c r="J13" i="9"/>
  <c r="J33" i="9"/>
  <c r="I13" i="9"/>
  <c r="I33" i="9"/>
  <c r="H13" i="9"/>
  <c r="H33" i="9"/>
  <c r="F13" i="9"/>
  <c r="F33" i="9"/>
  <c r="D13" i="9"/>
  <c r="D33" i="9"/>
  <c r="L12" i="9"/>
  <c r="K12" i="9"/>
  <c r="J12" i="9"/>
  <c r="I12" i="9"/>
  <c r="H12" i="9"/>
  <c r="F12" i="9"/>
  <c r="D12" i="9"/>
  <c r="N39" i="9"/>
  <c r="M39" i="9"/>
  <c r="O39" i="9"/>
  <c r="L11" i="9"/>
  <c r="L39" i="9"/>
  <c r="K11" i="9"/>
  <c r="K39" i="9"/>
  <c r="J11" i="9"/>
  <c r="J39" i="9"/>
  <c r="I11" i="9"/>
  <c r="I39" i="9"/>
  <c r="H11" i="9"/>
  <c r="H39" i="9"/>
  <c r="F11" i="9"/>
  <c r="F39" i="9"/>
  <c r="D11" i="9"/>
  <c r="D39" i="9"/>
  <c r="N46" i="9"/>
  <c r="M46" i="9"/>
  <c r="L10" i="9"/>
  <c r="L46" i="9"/>
  <c r="K10" i="9"/>
  <c r="K46" i="9"/>
  <c r="J10" i="9"/>
  <c r="J46" i="9"/>
  <c r="I10" i="9"/>
  <c r="I46" i="9"/>
  <c r="H10" i="9"/>
  <c r="H46" i="9"/>
  <c r="F10" i="9"/>
  <c r="F46" i="9"/>
  <c r="D10" i="9"/>
  <c r="D46" i="9"/>
  <c r="L9" i="9"/>
  <c r="K9" i="9"/>
  <c r="J9" i="9"/>
  <c r="I9" i="9"/>
  <c r="H9" i="9"/>
  <c r="F9" i="9"/>
  <c r="D9" i="9"/>
  <c r="N41" i="9"/>
  <c r="M41" i="9"/>
  <c r="O41" i="9"/>
  <c r="L8" i="9"/>
  <c r="L41" i="9"/>
  <c r="K8" i="9"/>
  <c r="K41" i="9"/>
  <c r="J8" i="9"/>
  <c r="J41" i="9"/>
  <c r="I8" i="9"/>
  <c r="I41" i="9"/>
  <c r="H8" i="9"/>
  <c r="H41" i="9"/>
  <c r="F8" i="9"/>
  <c r="F41" i="9"/>
  <c r="D8" i="9"/>
  <c r="D41" i="9"/>
  <c r="L7" i="9"/>
  <c r="K7" i="9"/>
  <c r="J7" i="9"/>
  <c r="I7" i="9"/>
  <c r="H7" i="9"/>
  <c r="F7" i="9"/>
  <c r="D7" i="9"/>
  <c r="N47" i="9"/>
  <c r="M47" i="9"/>
  <c r="O47" i="9"/>
  <c r="L6" i="9"/>
  <c r="L47" i="9"/>
  <c r="K6" i="9"/>
  <c r="K47" i="9"/>
  <c r="J6" i="9"/>
  <c r="J47" i="9"/>
  <c r="I6" i="9"/>
  <c r="I47" i="9"/>
  <c r="H6" i="9"/>
  <c r="H47" i="9"/>
  <c r="F6" i="9"/>
  <c r="F47" i="9"/>
  <c r="D6" i="9"/>
  <c r="D47" i="9"/>
  <c r="L5" i="9"/>
  <c r="K5" i="9"/>
  <c r="J5" i="9"/>
  <c r="I5" i="9"/>
  <c r="H5" i="9"/>
  <c r="F5" i="9"/>
  <c r="D5" i="9"/>
  <c r="N40" i="9"/>
  <c r="M40" i="9"/>
  <c r="O40" i="9"/>
  <c r="L4" i="9"/>
  <c r="L40" i="9"/>
  <c r="K4" i="9"/>
  <c r="K40" i="9"/>
  <c r="J4" i="9"/>
  <c r="J40" i="9"/>
  <c r="I4" i="9"/>
  <c r="I40" i="9"/>
  <c r="H4" i="9"/>
  <c r="H40" i="9"/>
  <c r="F4" i="9"/>
  <c r="F40" i="9"/>
  <c r="D4" i="9"/>
  <c r="D40" i="9"/>
  <c r="N2" i="9"/>
  <c r="N38" i="9"/>
  <c r="M2" i="9"/>
  <c r="M38" i="9"/>
  <c r="O38" i="9"/>
  <c r="L2" i="9"/>
  <c r="L38" i="9"/>
  <c r="K2" i="9"/>
  <c r="K38" i="9"/>
  <c r="J2" i="9"/>
  <c r="J38" i="9"/>
  <c r="I2" i="9"/>
  <c r="I38" i="9"/>
  <c r="H2" i="9"/>
  <c r="H38" i="9"/>
  <c r="F2" i="9"/>
  <c r="F38" i="9"/>
  <c r="D2" i="9"/>
  <c r="D38" i="9"/>
  <c r="N30" i="7"/>
  <c r="N35" i="7"/>
  <c r="M30" i="7"/>
  <c r="M35" i="7"/>
  <c r="D30" i="7"/>
  <c r="D35" i="7"/>
  <c r="N29" i="7"/>
  <c r="M29" i="7"/>
  <c r="D29" i="7"/>
  <c r="N28" i="7"/>
  <c r="N43" i="7"/>
  <c r="M28" i="7"/>
  <c r="M43" i="7"/>
  <c r="D28" i="7"/>
  <c r="D43" i="7"/>
  <c r="N27" i="7"/>
  <c r="M27" i="7"/>
  <c r="D27" i="7"/>
  <c r="N26" i="7"/>
  <c r="N36" i="7"/>
  <c r="M26" i="7"/>
  <c r="M36" i="7"/>
  <c r="D26" i="7"/>
  <c r="D36" i="7"/>
  <c r="N25" i="7"/>
  <c r="M25" i="7"/>
  <c r="D25" i="7"/>
  <c r="N24" i="7"/>
  <c r="M24" i="7"/>
  <c r="D24" i="7"/>
  <c r="N23" i="7"/>
  <c r="N49" i="7"/>
  <c r="M23" i="7"/>
  <c r="M49" i="7"/>
  <c r="D23" i="7"/>
  <c r="D49" i="7"/>
  <c r="N22" i="7"/>
  <c r="N37" i="7"/>
  <c r="M22" i="7"/>
  <c r="M37" i="7"/>
  <c r="D22" i="7"/>
  <c r="D37" i="7"/>
  <c r="N21" i="7"/>
  <c r="M21" i="7"/>
  <c r="D21" i="7"/>
  <c r="N20" i="7"/>
  <c r="M20" i="7"/>
  <c r="D20" i="7"/>
  <c r="N19" i="7"/>
  <c r="N42" i="7"/>
  <c r="M19" i="7"/>
  <c r="M42" i="7"/>
  <c r="D19" i="7"/>
  <c r="D42" i="7"/>
  <c r="N18" i="7"/>
  <c r="M18" i="7"/>
  <c r="D18" i="7"/>
  <c r="N17" i="7"/>
  <c r="M17" i="7"/>
  <c r="D17" i="7"/>
  <c r="N16" i="7"/>
  <c r="M16" i="7"/>
  <c r="D16" i="7"/>
  <c r="N15" i="7"/>
  <c r="N44" i="7"/>
  <c r="M15" i="7"/>
  <c r="M44" i="7"/>
  <c r="D15" i="7"/>
  <c r="D44" i="7"/>
  <c r="N14" i="7"/>
  <c r="N34" i="7"/>
  <c r="M14" i="7"/>
  <c r="M34" i="7"/>
  <c r="D14" i="7"/>
  <c r="D34" i="7"/>
  <c r="N13" i="7"/>
  <c r="N33" i="7"/>
  <c r="M13" i="7"/>
  <c r="M33" i="7"/>
  <c r="D13" i="7"/>
  <c r="D33" i="7"/>
  <c r="N12" i="7"/>
  <c r="M12" i="7"/>
  <c r="D12" i="7"/>
  <c r="N11" i="7"/>
  <c r="N39" i="7"/>
  <c r="M11" i="7"/>
  <c r="M39" i="7"/>
  <c r="D11" i="7"/>
  <c r="D39" i="7"/>
  <c r="N10" i="7"/>
  <c r="N46" i="7"/>
  <c r="M10" i="7"/>
  <c r="M46" i="7"/>
  <c r="D10" i="7"/>
  <c r="D46" i="7"/>
  <c r="N9" i="7"/>
  <c r="M9" i="7"/>
  <c r="D9" i="7"/>
  <c r="N8" i="7"/>
  <c r="N41" i="7"/>
  <c r="M8" i="7"/>
  <c r="M41" i="7"/>
  <c r="D8" i="7"/>
  <c r="D41" i="7"/>
  <c r="N7" i="7"/>
  <c r="M7" i="7"/>
  <c r="D7" i="7"/>
  <c r="N6" i="7"/>
  <c r="N47" i="7"/>
  <c r="M6" i="7"/>
  <c r="M47" i="7"/>
  <c r="D6" i="7"/>
  <c r="D47" i="7"/>
  <c r="N5" i="7"/>
  <c r="M5" i="7"/>
  <c r="D5" i="7"/>
  <c r="N4" i="7"/>
  <c r="N40" i="7"/>
  <c r="M4" i="7"/>
  <c r="M40" i="7"/>
  <c r="D4" i="7"/>
  <c r="D40" i="7"/>
  <c r="N2" i="7"/>
  <c r="N38" i="7"/>
  <c r="M2" i="7"/>
  <c r="M38" i="7"/>
  <c r="D38" i="7"/>
  <c r="L3" i="11"/>
  <c r="L32" i="11"/>
  <c r="L31" i="11"/>
  <c r="K3" i="11"/>
  <c r="K32" i="11"/>
  <c r="K31" i="11"/>
  <c r="J3" i="11"/>
  <c r="J32" i="11"/>
  <c r="J31" i="11"/>
  <c r="I3" i="11"/>
  <c r="I32" i="11"/>
  <c r="I31" i="11"/>
  <c r="H3" i="11"/>
  <c r="H32" i="11"/>
  <c r="H31" i="11"/>
  <c r="F3" i="11"/>
  <c r="F32" i="11"/>
  <c r="F31" i="11"/>
  <c r="D3" i="11"/>
  <c r="D32" i="11"/>
  <c r="L3" i="9"/>
  <c r="L32" i="9"/>
  <c r="K3" i="9"/>
  <c r="K32" i="9"/>
  <c r="J3" i="9"/>
  <c r="J32" i="9"/>
  <c r="I3" i="9"/>
  <c r="I32" i="9"/>
  <c r="H3" i="9"/>
  <c r="H32" i="9"/>
  <c r="F3" i="9"/>
  <c r="F32" i="9"/>
  <c r="D3" i="9"/>
  <c r="D32" i="9"/>
  <c r="D3" i="7"/>
  <c r="D32" i="7"/>
  <c r="D67" i="11"/>
  <c r="D53" i="11"/>
  <c r="J53" i="11"/>
  <c r="J67" i="11"/>
  <c r="N53" i="11"/>
  <c r="N67" i="11"/>
  <c r="I73" i="11"/>
  <c r="I59" i="11"/>
  <c r="M73" i="11"/>
  <c r="M59" i="11"/>
  <c r="F54" i="11"/>
  <c r="F68" i="11"/>
  <c r="K68" i="11"/>
  <c r="K54" i="11"/>
  <c r="D45" i="11"/>
  <c r="K45" i="11"/>
  <c r="I60" i="11"/>
  <c r="I74" i="11"/>
  <c r="M60" i="11"/>
  <c r="M74" i="11"/>
  <c r="I58" i="11"/>
  <c r="I72" i="11"/>
  <c r="M58" i="11"/>
  <c r="M72" i="11"/>
  <c r="H66" i="11"/>
  <c r="H52" i="11"/>
  <c r="L66" i="11"/>
  <c r="L52" i="11"/>
  <c r="F61" i="11"/>
  <c r="F75" i="11"/>
  <c r="K75" i="11"/>
  <c r="K61" i="11"/>
  <c r="I56" i="11"/>
  <c r="I70" i="11"/>
  <c r="M56" i="11"/>
  <c r="M70" i="11"/>
  <c r="H65" i="11"/>
  <c r="H51" i="11"/>
  <c r="L65" i="11"/>
  <c r="L51" i="11"/>
  <c r="I69" i="11"/>
  <c r="I55" i="11"/>
  <c r="M69" i="11"/>
  <c r="M55" i="11"/>
  <c r="H64" i="11"/>
  <c r="H50" i="11"/>
  <c r="L64" i="11"/>
  <c r="L50" i="11"/>
  <c r="D62" i="11"/>
  <c r="D76" i="11"/>
  <c r="J62" i="11"/>
  <c r="J76" i="11"/>
  <c r="N62" i="11"/>
  <c r="N76" i="11"/>
  <c r="H71" i="11"/>
  <c r="H57" i="11"/>
  <c r="L71" i="11"/>
  <c r="L57" i="11"/>
  <c r="F53" i="11"/>
  <c r="F67" i="11"/>
  <c r="K67" i="11"/>
  <c r="K53" i="11"/>
  <c r="D73" i="11"/>
  <c r="D59" i="11"/>
  <c r="J73" i="11"/>
  <c r="J59" i="11"/>
  <c r="N73" i="11"/>
  <c r="N59" i="11"/>
  <c r="H68" i="11"/>
  <c r="H54" i="11"/>
  <c r="L68" i="11"/>
  <c r="L54" i="11"/>
  <c r="H45" i="11"/>
  <c r="L45" i="11"/>
  <c r="D60" i="11"/>
  <c r="D74" i="11"/>
  <c r="J60" i="11"/>
  <c r="J74" i="11"/>
  <c r="N60" i="11"/>
  <c r="N74" i="11"/>
  <c r="D58" i="11"/>
  <c r="D72" i="11"/>
  <c r="J58" i="11"/>
  <c r="J72" i="11"/>
  <c r="N58" i="11"/>
  <c r="N72" i="11"/>
  <c r="I52" i="11"/>
  <c r="I66" i="11"/>
  <c r="M52" i="11"/>
  <c r="M66" i="11"/>
  <c r="H75" i="11"/>
  <c r="H61" i="11"/>
  <c r="L75" i="11"/>
  <c r="L61" i="11"/>
  <c r="D56" i="11"/>
  <c r="D70" i="11"/>
  <c r="J56" i="11"/>
  <c r="J70" i="11"/>
  <c r="N56" i="11"/>
  <c r="N70" i="11"/>
  <c r="I51" i="11"/>
  <c r="I65" i="11"/>
  <c r="M51" i="11"/>
  <c r="M65" i="11"/>
  <c r="D69" i="11"/>
  <c r="D55" i="11"/>
  <c r="J69" i="11"/>
  <c r="J55" i="11"/>
  <c r="N69" i="11"/>
  <c r="N55" i="11"/>
  <c r="I50" i="11"/>
  <c r="I64" i="11"/>
  <c r="M50" i="11"/>
  <c r="M64" i="11"/>
  <c r="F62" i="11"/>
  <c r="F76" i="11"/>
  <c r="K76" i="11"/>
  <c r="K62" i="11"/>
  <c r="I71" i="11"/>
  <c r="I57" i="11"/>
  <c r="M71" i="11"/>
  <c r="M57" i="11"/>
  <c r="D31" i="11"/>
  <c r="O40" i="11"/>
  <c r="H67" i="11"/>
  <c r="H53" i="11"/>
  <c r="L67" i="11"/>
  <c r="L53" i="11"/>
  <c r="F59" i="11"/>
  <c r="F73" i="11"/>
  <c r="K73" i="11"/>
  <c r="K59" i="11"/>
  <c r="I54" i="11"/>
  <c r="I68" i="11"/>
  <c r="M54" i="11"/>
  <c r="M68" i="11"/>
  <c r="I45" i="11"/>
  <c r="M45" i="11"/>
  <c r="O46" i="11"/>
  <c r="F60" i="11"/>
  <c r="F74" i="11"/>
  <c r="K74" i="11"/>
  <c r="K60" i="11"/>
  <c r="O34" i="11"/>
  <c r="F58" i="11"/>
  <c r="F72" i="11"/>
  <c r="K72" i="11"/>
  <c r="K58" i="11"/>
  <c r="D66" i="11"/>
  <c r="D52" i="11"/>
  <c r="J52" i="11"/>
  <c r="J66" i="11"/>
  <c r="N52" i="11"/>
  <c r="N66" i="11"/>
  <c r="I75" i="11"/>
  <c r="I61" i="11"/>
  <c r="M75" i="11"/>
  <c r="M61" i="11"/>
  <c r="F56" i="11"/>
  <c r="F70" i="11"/>
  <c r="K70" i="11"/>
  <c r="K56" i="11"/>
  <c r="D65" i="11"/>
  <c r="D51" i="11"/>
  <c r="J51" i="11"/>
  <c r="J65" i="11"/>
  <c r="N51" i="11"/>
  <c r="N65" i="11"/>
  <c r="F55" i="11"/>
  <c r="F69" i="11"/>
  <c r="K69" i="11"/>
  <c r="K55" i="11"/>
  <c r="D64" i="11"/>
  <c r="D50" i="11"/>
  <c r="J50" i="11"/>
  <c r="J54" i="11"/>
  <c r="J57" i="11"/>
  <c r="J61" i="11"/>
  <c r="J48" i="11"/>
  <c r="J64" i="11"/>
  <c r="N50" i="11"/>
  <c r="N54" i="11"/>
  <c r="N57" i="11"/>
  <c r="N61" i="11"/>
  <c r="N48" i="11"/>
  <c r="N64" i="11"/>
  <c r="H76" i="11"/>
  <c r="H62" i="11"/>
  <c r="L76" i="11"/>
  <c r="L62" i="11"/>
  <c r="D71" i="11"/>
  <c r="D57" i="11"/>
  <c r="J71" i="11"/>
  <c r="N71" i="11"/>
  <c r="I53" i="11"/>
  <c r="I67" i="11"/>
  <c r="M53" i="11"/>
  <c r="O53" i="11"/>
  <c r="M67" i="11"/>
  <c r="O67" i="11"/>
  <c r="O47" i="11"/>
  <c r="H73" i="11"/>
  <c r="H59" i="11"/>
  <c r="L73" i="11"/>
  <c r="L59" i="11"/>
  <c r="D68" i="11"/>
  <c r="D54" i="11"/>
  <c r="J68" i="11"/>
  <c r="N68" i="11"/>
  <c r="J45" i="11"/>
  <c r="N45" i="11"/>
  <c r="O39" i="11"/>
  <c r="H74" i="11"/>
  <c r="H60" i="11"/>
  <c r="L74" i="11"/>
  <c r="L60" i="11"/>
  <c r="O44" i="11"/>
  <c r="H72" i="11"/>
  <c r="H58" i="11"/>
  <c r="L72" i="11"/>
  <c r="L58" i="11"/>
  <c r="F52" i="11"/>
  <c r="F66" i="11"/>
  <c r="K66" i="11"/>
  <c r="K52" i="11"/>
  <c r="D75" i="11"/>
  <c r="D61" i="11"/>
  <c r="J75" i="11"/>
  <c r="N75" i="11"/>
  <c r="O42" i="11"/>
  <c r="H70" i="11"/>
  <c r="H56" i="11"/>
  <c r="L70" i="11"/>
  <c r="L56" i="11"/>
  <c r="F51" i="11"/>
  <c r="F65" i="11"/>
  <c r="K65" i="11"/>
  <c r="K51" i="11"/>
  <c r="M48" i="11"/>
  <c r="O49" i="11"/>
  <c r="H69" i="11"/>
  <c r="H55" i="11"/>
  <c r="H48" i="11"/>
  <c r="L69" i="11"/>
  <c r="L55" i="11"/>
  <c r="L48" i="11"/>
  <c r="F50" i="11"/>
  <c r="F57" i="11"/>
  <c r="F48" i="11"/>
  <c r="F64" i="11"/>
  <c r="K64" i="11"/>
  <c r="K71" i="11"/>
  <c r="K63" i="11"/>
  <c r="K50" i="11"/>
  <c r="K57" i="11"/>
  <c r="K48" i="11"/>
  <c r="I62" i="11"/>
  <c r="I48" i="11"/>
  <c r="I76" i="11"/>
  <c r="M62" i="11"/>
  <c r="O62" i="11"/>
  <c r="M76" i="11"/>
  <c r="O76" i="11"/>
  <c r="F71" i="11"/>
  <c r="O44" i="9"/>
  <c r="J67" i="9"/>
  <c r="J53" i="9"/>
  <c r="N68" i="9"/>
  <c r="N54" i="9"/>
  <c r="K74" i="9"/>
  <c r="K60" i="9"/>
  <c r="F72" i="9"/>
  <c r="F58" i="9"/>
  <c r="J66" i="9"/>
  <c r="J52" i="9"/>
  <c r="M75" i="9"/>
  <c r="M61" i="9"/>
  <c r="F70" i="9"/>
  <c r="F56" i="9"/>
  <c r="J65" i="9"/>
  <c r="J51" i="9"/>
  <c r="J50" i="9"/>
  <c r="J54" i="9"/>
  <c r="J55" i="9"/>
  <c r="J56" i="9"/>
  <c r="J57" i="9"/>
  <c r="J58" i="9"/>
  <c r="J59" i="9"/>
  <c r="J60" i="9"/>
  <c r="J61" i="9"/>
  <c r="J62" i="9"/>
  <c r="J48" i="9"/>
  <c r="D50" i="9"/>
  <c r="D64" i="9"/>
  <c r="N64" i="9"/>
  <c r="N50" i="9"/>
  <c r="H76" i="9"/>
  <c r="H62" i="9"/>
  <c r="D71" i="9"/>
  <c r="D57" i="9"/>
  <c r="N71" i="9"/>
  <c r="N57" i="9"/>
  <c r="K53" i="9"/>
  <c r="K67" i="9"/>
  <c r="I73" i="9"/>
  <c r="I59" i="9"/>
  <c r="F66" i="9"/>
  <c r="F52" i="9"/>
  <c r="N75" i="9"/>
  <c r="N61" i="9"/>
  <c r="H70" i="9"/>
  <c r="H56" i="9"/>
  <c r="F51" i="9"/>
  <c r="F65" i="9"/>
  <c r="O49" i="9"/>
  <c r="H69" i="9"/>
  <c r="H55" i="9"/>
  <c r="L69" i="9"/>
  <c r="L55" i="9"/>
  <c r="F64" i="9"/>
  <c r="F67" i="9"/>
  <c r="F68" i="9"/>
  <c r="F69" i="9"/>
  <c r="F71" i="9"/>
  <c r="F73" i="9"/>
  <c r="F74" i="9"/>
  <c r="F75" i="9"/>
  <c r="F76" i="9"/>
  <c r="F63" i="9"/>
  <c r="F50" i="9"/>
  <c r="K64" i="9"/>
  <c r="K50" i="9"/>
  <c r="I62" i="9"/>
  <c r="I76" i="9"/>
  <c r="M62" i="9"/>
  <c r="M76" i="9"/>
  <c r="N76" i="9"/>
  <c r="O76" i="9"/>
  <c r="F57" i="9"/>
  <c r="K57" i="9"/>
  <c r="K71" i="9"/>
  <c r="J31" i="9"/>
  <c r="D67" i="9"/>
  <c r="D53" i="9"/>
  <c r="N67" i="9"/>
  <c r="N53" i="9"/>
  <c r="H73" i="9"/>
  <c r="H59" i="9"/>
  <c r="J68" i="9"/>
  <c r="M45" i="9"/>
  <c r="O46" i="9"/>
  <c r="O45" i="9"/>
  <c r="F60" i="9"/>
  <c r="D52" i="9"/>
  <c r="D66" i="9"/>
  <c r="I75" i="9"/>
  <c r="I61" i="9"/>
  <c r="K70" i="9"/>
  <c r="K56" i="9"/>
  <c r="N65" i="9"/>
  <c r="N51" i="9"/>
  <c r="F55" i="9"/>
  <c r="J64" i="9"/>
  <c r="L76" i="9"/>
  <c r="L62" i="9"/>
  <c r="F54" i="9"/>
  <c r="D45" i="9"/>
  <c r="N45" i="9"/>
  <c r="H74" i="9"/>
  <c r="H60" i="9"/>
  <c r="L72" i="9"/>
  <c r="L58" i="9"/>
  <c r="D75" i="9"/>
  <c r="D61" i="9"/>
  <c r="K51" i="9"/>
  <c r="K65" i="9"/>
  <c r="K31" i="9"/>
  <c r="H67" i="9"/>
  <c r="H53" i="9"/>
  <c r="L67" i="9"/>
  <c r="L53" i="9"/>
  <c r="D73" i="9"/>
  <c r="D59" i="9"/>
  <c r="J73" i="9"/>
  <c r="N73" i="9"/>
  <c r="N59" i="9"/>
  <c r="H68" i="9"/>
  <c r="H54" i="9"/>
  <c r="L68" i="9"/>
  <c r="L54" i="9"/>
  <c r="F45" i="9"/>
  <c r="K45" i="9"/>
  <c r="I60" i="9"/>
  <c r="I74" i="9"/>
  <c r="M60" i="9"/>
  <c r="M74" i="9"/>
  <c r="I58" i="9"/>
  <c r="I72" i="9"/>
  <c r="M58" i="9"/>
  <c r="M72" i="9"/>
  <c r="H66" i="9"/>
  <c r="H52" i="9"/>
  <c r="L66" i="9"/>
  <c r="L52" i="9"/>
  <c r="F61" i="9"/>
  <c r="K61" i="9"/>
  <c r="K75" i="9"/>
  <c r="I56" i="9"/>
  <c r="I70" i="9"/>
  <c r="M56" i="9"/>
  <c r="M70" i="9"/>
  <c r="H65" i="9"/>
  <c r="H51" i="9"/>
  <c r="L65" i="9"/>
  <c r="L51" i="9"/>
  <c r="I69" i="9"/>
  <c r="I55" i="9"/>
  <c r="M69" i="9"/>
  <c r="M55" i="9"/>
  <c r="H64" i="9"/>
  <c r="H50" i="9"/>
  <c r="H57" i="9"/>
  <c r="H58" i="9"/>
  <c r="H61" i="9"/>
  <c r="H48" i="9"/>
  <c r="L64" i="9"/>
  <c r="L50" i="9"/>
  <c r="F31" i="9"/>
  <c r="D62" i="9"/>
  <c r="D76" i="9"/>
  <c r="J76" i="9"/>
  <c r="N62" i="9"/>
  <c r="H71" i="9"/>
  <c r="L71" i="9"/>
  <c r="L57" i="9"/>
  <c r="L73" i="9"/>
  <c r="L59" i="9"/>
  <c r="D54" i="9"/>
  <c r="D68" i="9"/>
  <c r="I45" i="9"/>
  <c r="K72" i="9"/>
  <c r="K58" i="9"/>
  <c r="N66" i="9"/>
  <c r="N52" i="9"/>
  <c r="D65" i="9"/>
  <c r="D51" i="9"/>
  <c r="K55" i="9"/>
  <c r="K69" i="9"/>
  <c r="J71" i="9"/>
  <c r="I31" i="9"/>
  <c r="D31" i="9"/>
  <c r="F53" i="9"/>
  <c r="F59" i="9"/>
  <c r="F62" i="9"/>
  <c r="F48" i="9"/>
  <c r="M73" i="9"/>
  <c r="O73" i="9"/>
  <c r="M59" i="9"/>
  <c r="O59" i="9"/>
  <c r="K68" i="9"/>
  <c r="K54" i="9"/>
  <c r="J45" i="9"/>
  <c r="L74" i="9"/>
  <c r="L60" i="9"/>
  <c r="L56" i="9"/>
  <c r="L61" i="9"/>
  <c r="L48" i="9"/>
  <c r="H72" i="9"/>
  <c r="K66" i="9"/>
  <c r="K52" i="9"/>
  <c r="J75" i="9"/>
  <c r="L70" i="9"/>
  <c r="H31" i="9"/>
  <c r="L31" i="9"/>
  <c r="I67" i="9"/>
  <c r="I53" i="9"/>
  <c r="M67" i="9"/>
  <c r="O67" i="9"/>
  <c r="M53" i="9"/>
  <c r="O53" i="9"/>
  <c r="K59" i="9"/>
  <c r="K73" i="9"/>
  <c r="I54" i="9"/>
  <c r="I68" i="9"/>
  <c r="M54" i="9"/>
  <c r="O54" i="9"/>
  <c r="M68" i="9"/>
  <c r="O68" i="9"/>
  <c r="H45" i="9"/>
  <c r="L45" i="9"/>
  <c r="D60" i="9"/>
  <c r="D74" i="9"/>
  <c r="J74" i="9"/>
  <c r="N74" i="9"/>
  <c r="N60" i="9"/>
  <c r="O33" i="9"/>
  <c r="D58" i="9"/>
  <c r="D72" i="9"/>
  <c r="J72" i="9"/>
  <c r="N72" i="9"/>
  <c r="N58" i="9"/>
  <c r="I52" i="9"/>
  <c r="I66" i="9"/>
  <c r="M52" i="9"/>
  <c r="M66" i="9"/>
  <c r="H75" i="9"/>
  <c r="L75" i="9"/>
  <c r="D56" i="9"/>
  <c r="D70" i="9"/>
  <c r="J70" i="9"/>
  <c r="N70" i="9"/>
  <c r="N56" i="9"/>
  <c r="I65" i="9"/>
  <c r="I51" i="9"/>
  <c r="M65" i="9"/>
  <c r="O65" i="9"/>
  <c r="M51" i="9"/>
  <c r="O51" i="9"/>
  <c r="K62" i="9"/>
  <c r="K48" i="9"/>
  <c r="D69" i="9"/>
  <c r="D55" i="9"/>
  <c r="J69" i="9"/>
  <c r="N69" i="9"/>
  <c r="N55" i="9"/>
  <c r="I50" i="9"/>
  <c r="I57" i="9"/>
  <c r="I48" i="9"/>
  <c r="I64" i="9"/>
  <c r="M50" i="9"/>
  <c r="O50" i="9"/>
  <c r="M64" i="9"/>
  <c r="K76" i="9"/>
  <c r="I71" i="9"/>
  <c r="M71" i="9"/>
  <c r="O71" i="9"/>
  <c r="M57" i="9"/>
  <c r="O57" i="9"/>
  <c r="O34" i="7"/>
  <c r="O42" i="7"/>
  <c r="O47" i="7"/>
  <c r="O39" i="7"/>
  <c r="O37" i="7"/>
  <c r="O43" i="7"/>
  <c r="N45" i="7"/>
  <c r="O33" i="7"/>
  <c r="O40" i="7"/>
  <c r="O44" i="7"/>
  <c r="O36" i="7"/>
  <c r="O35" i="7"/>
  <c r="N73" i="7"/>
  <c r="N59" i="7"/>
  <c r="M76" i="7"/>
  <c r="M62" i="7"/>
  <c r="O38" i="7"/>
  <c r="M59" i="7"/>
  <c r="M73" i="7"/>
  <c r="M75" i="7"/>
  <c r="M61" i="7"/>
  <c r="M51" i="7"/>
  <c r="M65" i="7"/>
  <c r="O49" i="7"/>
  <c r="M64" i="7"/>
  <c r="M50" i="7"/>
  <c r="M67" i="7"/>
  <c r="M53" i="7"/>
  <c r="M68" i="7"/>
  <c r="M54" i="7"/>
  <c r="M72" i="7"/>
  <c r="M58" i="7"/>
  <c r="N53" i="7"/>
  <c r="N67" i="7"/>
  <c r="O41" i="7"/>
  <c r="N68" i="7"/>
  <c r="N54" i="7"/>
  <c r="M45" i="7"/>
  <c r="O46" i="7"/>
  <c r="M60" i="7"/>
  <c r="M74" i="7"/>
  <c r="M52" i="7"/>
  <c r="M66" i="7"/>
  <c r="M56" i="7"/>
  <c r="M70" i="7"/>
  <c r="M55" i="7"/>
  <c r="M69" i="7"/>
  <c r="N60" i="7"/>
  <c r="N74" i="7"/>
  <c r="N72" i="7"/>
  <c r="N58" i="7"/>
  <c r="N52" i="7"/>
  <c r="N66" i="7"/>
  <c r="N61" i="7"/>
  <c r="N75" i="7"/>
  <c r="N56" i="7"/>
  <c r="N70" i="7"/>
  <c r="N65" i="7"/>
  <c r="N51" i="7"/>
  <c r="D67" i="7"/>
  <c r="D53" i="7"/>
  <c r="D73" i="7"/>
  <c r="D59" i="7"/>
  <c r="D68" i="7"/>
  <c r="D54" i="7"/>
  <c r="D45" i="7"/>
  <c r="D74" i="7"/>
  <c r="D60" i="7"/>
  <c r="D31" i="7"/>
  <c r="D72" i="7"/>
  <c r="D58" i="7"/>
  <c r="D66" i="7"/>
  <c r="D52" i="7"/>
  <c r="D75" i="7"/>
  <c r="D61" i="7"/>
  <c r="D70" i="7"/>
  <c r="D56" i="7"/>
  <c r="D65" i="7"/>
  <c r="D51" i="7"/>
  <c r="D69" i="7"/>
  <c r="D55" i="7"/>
  <c r="D64" i="7"/>
  <c r="D50" i="7"/>
  <c r="D71" i="7"/>
  <c r="D57" i="7"/>
  <c r="D76" i="7"/>
  <c r="D62" i="7"/>
  <c r="M71" i="7"/>
  <c r="M57" i="7"/>
  <c r="N69" i="7"/>
  <c r="N55" i="7"/>
  <c r="N64" i="7"/>
  <c r="N50" i="7"/>
  <c r="N76" i="7"/>
  <c r="N62" i="7"/>
  <c r="N57" i="7"/>
  <c r="N71" i="7"/>
  <c r="O5" i="7"/>
  <c r="O17" i="9"/>
  <c r="O20" i="9"/>
  <c r="O24" i="9"/>
  <c r="O27" i="9"/>
  <c r="O27" i="11"/>
  <c r="O27" i="7"/>
  <c r="O5" i="9"/>
  <c r="O7" i="9"/>
  <c r="O9" i="9"/>
  <c r="O16" i="9"/>
  <c r="O18" i="9"/>
  <c r="O21" i="9"/>
  <c r="O25" i="9"/>
  <c r="O29" i="9"/>
  <c r="O18" i="11"/>
  <c r="O2" i="7"/>
  <c r="O4" i="7"/>
  <c r="O6" i="7"/>
  <c r="O11" i="7"/>
  <c r="O12" i="7"/>
  <c r="O7" i="7"/>
  <c r="O9" i="7"/>
  <c r="O8" i="7"/>
  <c r="O10" i="7"/>
  <c r="O13" i="7"/>
  <c r="O15" i="7"/>
  <c r="O17" i="7"/>
  <c r="O14" i="7"/>
  <c r="O16" i="7"/>
  <c r="O18" i="7"/>
  <c r="O24" i="7"/>
  <c r="O22" i="7"/>
  <c r="O25" i="7"/>
  <c r="O19" i="7"/>
  <c r="O20" i="7"/>
  <c r="O21" i="7"/>
  <c r="O23" i="7"/>
  <c r="O28" i="7"/>
  <c r="O26" i="7"/>
  <c r="O30" i="7"/>
  <c r="O29" i="7"/>
  <c r="O2" i="9"/>
  <c r="O4" i="9"/>
  <c r="O6" i="9"/>
  <c r="O8" i="9"/>
  <c r="O13" i="9"/>
  <c r="O10" i="9"/>
  <c r="O11" i="9"/>
  <c r="O12" i="9"/>
  <c r="O14" i="9"/>
  <c r="O15" i="9"/>
  <c r="O19" i="9"/>
  <c r="O22" i="9"/>
  <c r="O23" i="9"/>
  <c r="O26" i="9"/>
  <c r="O28" i="9"/>
  <c r="O30" i="9"/>
  <c r="O7" i="11"/>
  <c r="O8" i="11"/>
  <c r="O21" i="11"/>
  <c r="O4" i="11"/>
  <c r="O6" i="11"/>
  <c r="O16" i="11"/>
  <c r="O19" i="11"/>
  <c r="O5" i="11"/>
  <c r="O9" i="11"/>
  <c r="O10" i="11"/>
  <c r="O13" i="11"/>
  <c r="O28" i="11"/>
  <c r="O22" i="11"/>
  <c r="O24" i="11"/>
  <c r="O29" i="11"/>
  <c r="O30" i="11"/>
  <c r="O2" i="11"/>
  <c r="O11" i="11"/>
  <c r="O12" i="11"/>
  <c r="O14" i="11"/>
  <c r="O17" i="11"/>
  <c r="O20" i="11"/>
  <c r="O15" i="11"/>
  <c r="O25" i="11"/>
  <c r="O23" i="11"/>
  <c r="O26" i="11"/>
  <c r="F63" i="11"/>
  <c r="N63" i="11"/>
  <c r="O50" i="11"/>
  <c r="O51" i="11"/>
  <c r="O55" i="11"/>
  <c r="O70" i="11"/>
  <c r="O68" i="11"/>
  <c r="I63" i="11"/>
  <c r="O66" i="11"/>
  <c r="L63" i="11"/>
  <c r="O69" i="11"/>
  <c r="O56" i="11"/>
  <c r="O72" i="11"/>
  <c r="J63" i="11"/>
  <c r="O61" i="11"/>
  <c r="O45" i="11"/>
  <c r="O54" i="11"/>
  <c r="O57" i="11"/>
  <c r="O52" i="11"/>
  <c r="O58" i="11"/>
  <c r="O59" i="11"/>
  <c r="O60" i="11"/>
  <c r="O48" i="11"/>
  <c r="O74" i="11"/>
  <c r="O75" i="11"/>
  <c r="D63" i="11"/>
  <c r="O71" i="11"/>
  <c r="O64" i="11"/>
  <c r="M63" i="11"/>
  <c r="O65" i="11"/>
  <c r="H63" i="11"/>
  <c r="D48" i="11"/>
  <c r="O73" i="11"/>
  <c r="O66" i="9"/>
  <c r="N48" i="9"/>
  <c r="O52" i="9"/>
  <c r="O61" i="9"/>
  <c r="O55" i="9"/>
  <c r="O70" i="9"/>
  <c r="M48" i="9"/>
  <c r="L63" i="9"/>
  <c r="O69" i="9"/>
  <c r="O56" i="9"/>
  <c r="O58" i="9"/>
  <c r="O60" i="9"/>
  <c r="O62" i="9"/>
  <c r="O48" i="9"/>
  <c r="O72" i="9"/>
  <c r="O75" i="9"/>
  <c r="I63" i="9"/>
  <c r="O64" i="9"/>
  <c r="M63" i="9"/>
  <c r="D48" i="9"/>
  <c r="O74" i="9"/>
  <c r="J63" i="9"/>
  <c r="K63" i="9"/>
  <c r="N63" i="9"/>
  <c r="H63" i="9"/>
  <c r="D63" i="9"/>
  <c r="O45" i="7"/>
  <c r="O73" i="7"/>
  <c r="O53" i="7"/>
  <c r="O66" i="7"/>
  <c r="O72" i="7"/>
  <c r="O67" i="7"/>
  <c r="O59" i="7"/>
  <c r="N48" i="7"/>
  <c r="O61" i="7"/>
  <c r="O58" i="7"/>
  <c r="D63" i="7"/>
  <c r="O56" i="7"/>
  <c r="O60" i="7"/>
  <c r="M48" i="7"/>
  <c r="O69" i="7"/>
  <c r="O75" i="7"/>
  <c r="O57" i="7"/>
  <c r="D48" i="7"/>
  <c r="O55" i="7"/>
  <c r="O52" i="7"/>
  <c r="O54" i="7"/>
  <c r="O50" i="7"/>
  <c r="O65" i="7"/>
  <c r="O62" i="7"/>
  <c r="N63" i="7"/>
  <c r="O71" i="7"/>
  <c r="O70" i="7"/>
  <c r="O74" i="7"/>
  <c r="O68" i="7"/>
  <c r="O64" i="7"/>
  <c r="M63" i="7"/>
  <c r="O51" i="7"/>
  <c r="O76" i="7"/>
  <c r="O63" i="11"/>
  <c r="O63" i="9"/>
  <c r="O63" i="7"/>
  <c r="O48" i="7"/>
  <c r="N3" i="11"/>
  <c r="N32" i="11"/>
  <c r="N31" i="11"/>
  <c r="M3" i="11"/>
  <c r="M32" i="11"/>
  <c r="N32" i="9"/>
  <c r="N31" i="9"/>
  <c r="M32" i="9"/>
  <c r="N3" i="7"/>
  <c r="N32" i="7"/>
  <c r="N31" i="7"/>
  <c r="M3" i="7"/>
  <c r="M32" i="7"/>
  <c r="M31" i="11"/>
  <c r="O32" i="11"/>
  <c r="O31" i="11"/>
  <c r="O32" i="9"/>
  <c r="O31" i="9"/>
  <c r="M31" i="9"/>
  <c r="M31" i="7"/>
  <c r="O32" i="7"/>
  <c r="O31" i="7"/>
  <c r="O3" i="7"/>
  <c r="O3" i="11"/>
  <c r="O3" i="9"/>
  <c r="AD30" i="1"/>
  <c r="K35" i="7"/>
  <c r="AC30" i="1"/>
  <c r="J35" i="7"/>
  <c r="AB30" i="1"/>
  <c r="I35" i="7"/>
  <c r="AA30" i="1"/>
  <c r="Z30" i="1"/>
  <c r="L35" i="7"/>
  <c r="AD29" i="1"/>
  <c r="AC29" i="1"/>
  <c r="AB29" i="1"/>
  <c r="AA29" i="1"/>
  <c r="Z29" i="1"/>
  <c r="AD28" i="1"/>
  <c r="K43" i="7"/>
  <c r="AC28" i="1"/>
  <c r="J43" i="7"/>
  <c r="AB28" i="1"/>
  <c r="I43" i="7"/>
  <c r="AA28" i="1"/>
  <c r="Z28" i="1"/>
  <c r="L43" i="7"/>
  <c r="AD27" i="1"/>
  <c r="AC27" i="1"/>
  <c r="AB27" i="1"/>
  <c r="AA27" i="1"/>
  <c r="F27" i="7"/>
  <c r="Z27" i="1"/>
  <c r="AD26" i="1"/>
  <c r="K36" i="7"/>
  <c r="AC26" i="1"/>
  <c r="J36" i="7"/>
  <c r="AB26" i="1"/>
  <c r="I36" i="7"/>
  <c r="AA26" i="1"/>
  <c r="Z26" i="1"/>
  <c r="L36" i="7"/>
  <c r="AD25" i="1"/>
  <c r="AC25" i="1"/>
  <c r="AB25" i="1"/>
  <c r="AA25" i="1"/>
  <c r="F25" i="7"/>
  <c r="Z25" i="1"/>
  <c r="AD24" i="1"/>
  <c r="AC24" i="1"/>
  <c r="AB24" i="1"/>
  <c r="AA24" i="1"/>
  <c r="F24" i="7"/>
  <c r="Z24" i="1"/>
  <c r="AD23" i="1"/>
  <c r="K49" i="7"/>
  <c r="AC23" i="1"/>
  <c r="J49" i="7"/>
  <c r="AB23" i="1"/>
  <c r="I49" i="7"/>
  <c r="AA23" i="1"/>
  <c r="F23" i="7"/>
  <c r="F49" i="7"/>
  <c r="Z23" i="1"/>
  <c r="L49" i="7"/>
  <c r="AD22" i="1"/>
  <c r="K37" i="7"/>
  <c r="AC22" i="1"/>
  <c r="J37" i="7"/>
  <c r="AB22" i="1"/>
  <c r="I37" i="7"/>
  <c r="AA22" i="1"/>
  <c r="Z22" i="1"/>
  <c r="L37" i="7"/>
  <c r="AD21" i="1"/>
  <c r="AC21" i="1"/>
  <c r="AB21" i="1"/>
  <c r="AA21" i="1"/>
  <c r="F21" i="7"/>
  <c r="Z21" i="1"/>
  <c r="AD20" i="1"/>
  <c r="AC20" i="1"/>
  <c r="AB20" i="1"/>
  <c r="AA20" i="1"/>
  <c r="F20" i="7"/>
  <c r="Z20" i="1"/>
  <c r="AD19" i="1"/>
  <c r="K42" i="7"/>
  <c r="AC19" i="1"/>
  <c r="J42" i="7"/>
  <c r="AB19" i="1"/>
  <c r="I42" i="7"/>
  <c r="AA19" i="1"/>
  <c r="Z19" i="1"/>
  <c r="L42" i="7"/>
  <c r="AD18" i="1"/>
  <c r="AC18" i="1"/>
  <c r="AB18" i="1"/>
  <c r="AA18" i="1"/>
  <c r="Z18" i="1"/>
  <c r="AD17" i="1"/>
  <c r="AC17" i="1"/>
  <c r="AB17" i="1"/>
  <c r="AA17" i="1"/>
  <c r="Z17" i="1"/>
  <c r="AD16" i="1"/>
  <c r="AC16" i="1"/>
  <c r="AB16" i="1"/>
  <c r="AA16" i="1"/>
  <c r="Z16" i="1"/>
  <c r="AD15" i="1"/>
  <c r="K44" i="7"/>
  <c r="AC15" i="1"/>
  <c r="J44" i="7"/>
  <c r="AB15" i="1"/>
  <c r="I44" i="7"/>
  <c r="AA15" i="1"/>
  <c r="Z15" i="1"/>
  <c r="L44" i="7"/>
  <c r="AD14" i="1"/>
  <c r="K34" i="7"/>
  <c r="AC14" i="1"/>
  <c r="J34" i="7"/>
  <c r="AB14" i="1"/>
  <c r="I34" i="7"/>
  <c r="AA14" i="1"/>
  <c r="Z14" i="1"/>
  <c r="L34" i="7"/>
  <c r="AD13" i="1"/>
  <c r="K33" i="7"/>
  <c r="AC13" i="1"/>
  <c r="J33" i="7"/>
  <c r="AB13" i="1"/>
  <c r="I33" i="7"/>
  <c r="AA13" i="1"/>
  <c r="Z13" i="1"/>
  <c r="L33" i="7"/>
  <c r="AD12" i="1"/>
  <c r="AC12" i="1"/>
  <c r="AB12" i="1"/>
  <c r="AA12" i="1"/>
  <c r="Z12" i="1"/>
  <c r="AD11" i="1"/>
  <c r="K39" i="7"/>
  <c r="AC11" i="1"/>
  <c r="J39" i="7"/>
  <c r="AB11" i="1"/>
  <c r="I39" i="7"/>
  <c r="AA11" i="1"/>
  <c r="Z11" i="1"/>
  <c r="L39" i="7"/>
  <c r="AD10" i="1"/>
  <c r="K46" i="7"/>
  <c r="AC10" i="1"/>
  <c r="J46" i="7"/>
  <c r="AB10" i="1"/>
  <c r="I46" i="7"/>
  <c r="AA10" i="1"/>
  <c r="Z10" i="1"/>
  <c r="L46" i="7"/>
  <c r="AD9" i="1"/>
  <c r="AC9" i="1"/>
  <c r="AB9" i="1"/>
  <c r="Z9" i="1"/>
  <c r="AD8" i="1"/>
  <c r="K41" i="7"/>
  <c r="AC8" i="1"/>
  <c r="J41" i="7"/>
  <c r="AB8" i="1"/>
  <c r="I41" i="7"/>
  <c r="AA8" i="1"/>
  <c r="Z8" i="1"/>
  <c r="L41" i="7"/>
  <c r="AD7" i="1"/>
  <c r="AC7" i="1"/>
  <c r="AB7" i="1"/>
  <c r="AA7" i="1"/>
  <c r="Z7" i="1"/>
  <c r="AD6" i="1"/>
  <c r="K47" i="7"/>
  <c r="AC6" i="1"/>
  <c r="J47" i="7"/>
  <c r="AB6" i="1"/>
  <c r="I47" i="7"/>
  <c r="AA6" i="1"/>
  <c r="Z6" i="1"/>
  <c r="L47" i="7"/>
  <c r="AD5" i="1"/>
  <c r="AC5" i="1"/>
  <c r="AB5" i="1"/>
  <c r="AA5" i="1"/>
  <c r="Z5" i="1"/>
  <c r="AD4" i="1"/>
  <c r="K40" i="7"/>
  <c r="AC4" i="1"/>
  <c r="J40" i="7"/>
  <c r="AB4" i="1"/>
  <c r="I40" i="7"/>
  <c r="AA4" i="1"/>
  <c r="Z4" i="1"/>
  <c r="L40" i="7"/>
  <c r="AD3" i="1"/>
  <c r="K32" i="7"/>
  <c r="AC3" i="1"/>
  <c r="J32" i="7"/>
  <c r="AB3" i="1"/>
  <c r="I32" i="7"/>
  <c r="AA3" i="1"/>
  <c r="Z3" i="1"/>
  <c r="L32" i="7"/>
  <c r="AD2" i="1"/>
  <c r="K38" i="7"/>
  <c r="AC2" i="1"/>
  <c r="J38" i="7"/>
  <c r="AB2" i="1"/>
  <c r="I38" i="7"/>
  <c r="AA2" i="1"/>
  <c r="Z2" i="1"/>
  <c r="L38" i="7"/>
  <c r="J45" i="7"/>
  <c r="K31" i="7"/>
  <c r="I67" i="7"/>
  <c r="I53" i="7"/>
  <c r="L59" i="7"/>
  <c r="L73" i="7"/>
  <c r="K73" i="7"/>
  <c r="K59" i="7"/>
  <c r="J68" i="7"/>
  <c r="J54" i="7"/>
  <c r="L45" i="7"/>
  <c r="K45" i="7"/>
  <c r="I60" i="7"/>
  <c r="I74" i="7"/>
  <c r="I52" i="7"/>
  <c r="I66" i="7"/>
  <c r="J61" i="7"/>
  <c r="J75" i="7"/>
  <c r="I56" i="7"/>
  <c r="I70" i="7"/>
  <c r="J65" i="7"/>
  <c r="J51" i="7"/>
  <c r="I55" i="7"/>
  <c r="I69" i="7"/>
  <c r="J64" i="7"/>
  <c r="J50" i="7"/>
  <c r="L62" i="7"/>
  <c r="L76" i="7"/>
  <c r="K62" i="7"/>
  <c r="K76" i="7"/>
  <c r="J57" i="7"/>
  <c r="J71" i="7"/>
  <c r="J53" i="7"/>
  <c r="J67" i="7"/>
  <c r="K54" i="7"/>
  <c r="K68" i="7"/>
  <c r="J60" i="7"/>
  <c r="J74" i="7"/>
  <c r="I72" i="7"/>
  <c r="I58" i="7"/>
  <c r="J52" i="7"/>
  <c r="J66" i="7"/>
  <c r="L75" i="7"/>
  <c r="L61" i="7"/>
  <c r="K61" i="7"/>
  <c r="K75" i="7"/>
  <c r="J56" i="7"/>
  <c r="J70" i="7"/>
  <c r="L51" i="7"/>
  <c r="L65" i="7"/>
  <c r="K65" i="7"/>
  <c r="K51" i="7"/>
  <c r="J69" i="7"/>
  <c r="J55" i="7"/>
  <c r="L50" i="7"/>
  <c r="L64" i="7"/>
  <c r="K50" i="7"/>
  <c r="K64" i="7"/>
  <c r="F76" i="7"/>
  <c r="F62" i="7"/>
  <c r="L71" i="7"/>
  <c r="L57" i="7"/>
  <c r="K57" i="7"/>
  <c r="K71" i="7"/>
  <c r="L67" i="7"/>
  <c r="L53" i="7"/>
  <c r="K53" i="7"/>
  <c r="K67" i="7"/>
  <c r="I59" i="7"/>
  <c r="I73" i="7"/>
  <c r="L54" i="7"/>
  <c r="L68" i="7"/>
  <c r="I45" i="7"/>
  <c r="L74" i="7"/>
  <c r="L60" i="7"/>
  <c r="K74" i="7"/>
  <c r="K60" i="7"/>
  <c r="J72" i="7"/>
  <c r="J58" i="7"/>
  <c r="L66" i="7"/>
  <c r="L52" i="7"/>
  <c r="K66" i="7"/>
  <c r="K52" i="7"/>
  <c r="L70" i="7"/>
  <c r="L56" i="7"/>
  <c r="K70" i="7"/>
  <c r="K56" i="7"/>
  <c r="F65" i="7"/>
  <c r="F51" i="7"/>
  <c r="L55" i="7"/>
  <c r="L69" i="7"/>
  <c r="K69" i="7"/>
  <c r="K55" i="7"/>
  <c r="F64" i="7"/>
  <c r="F50" i="7"/>
  <c r="I76" i="7"/>
  <c r="I62" i="7"/>
  <c r="J31" i="7"/>
  <c r="J73" i="7"/>
  <c r="J59" i="7"/>
  <c r="I68" i="7"/>
  <c r="I54" i="7"/>
  <c r="L31" i="7"/>
  <c r="I31" i="7"/>
  <c r="L58" i="7"/>
  <c r="L72" i="7"/>
  <c r="K58" i="7"/>
  <c r="K72" i="7"/>
  <c r="I75" i="7"/>
  <c r="I61" i="7"/>
  <c r="F56" i="7"/>
  <c r="F70" i="7"/>
  <c r="I65" i="7"/>
  <c r="F69" i="7"/>
  <c r="F55" i="7"/>
  <c r="I64" i="7"/>
  <c r="I50" i="7"/>
  <c r="J76" i="7"/>
  <c r="J62" i="7"/>
  <c r="I71" i="7"/>
  <c r="I57" i="7"/>
  <c r="H29" i="7"/>
  <c r="F29" i="7"/>
  <c r="H2" i="7"/>
  <c r="H38" i="7"/>
  <c r="H3" i="7"/>
  <c r="H32" i="7"/>
  <c r="H4" i="7"/>
  <c r="H40" i="7"/>
  <c r="H5" i="7"/>
  <c r="F5" i="7"/>
  <c r="H6" i="7"/>
  <c r="H47" i="7"/>
  <c r="F6" i="7"/>
  <c r="H7" i="7"/>
  <c r="F7" i="7"/>
  <c r="H8" i="7"/>
  <c r="H41" i="7"/>
  <c r="H9" i="7"/>
  <c r="F9" i="7"/>
  <c r="H10" i="7"/>
  <c r="H46" i="7"/>
  <c r="H45" i="7"/>
  <c r="F10" i="7"/>
  <c r="H11" i="7"/>
  <c r="H39" i="7"/>
  <c r="H12" i="7"/>
  <c r="F12" i="7"/>
  <c r="H13" i="7"/>
  <c r="H33" i="7"/>
  <c r="H14" i="7"/>
  <c r="H34" i="7"/>
  <c r="H15" i="7"/>
  <c r="H44" i="7"/>
  <c r="H16" i="7"/>
  <c r="F16" i="7"/>
  <c r="H17" i="7"/>
  <c r="F17" i="7"/>
  <c r="F18" i="7"/>
  <c r="H18" i="7"/>
  <c r="H19" i="7"/>
  <c r="H42" i="7"/>
  <c r="H20" i="7"/>
  <c r="H21" i="7"/>
  <c r="H22" i="7"/>
  <c r="H37" i="7"/>
  <c r="H23" i="7"/>
  <c r="H49" i="7"/>
  <c r="H24" i="7"/>
  <c r="H25" i="7"/>
  <c r="H26" i="7"/>
  <c r="H36" i="7"/>
  <c r="H27" i="7"/>
  <c r="H28" i="7"/>
  <c r="H43" i="7"/>
  <c r="H30" i="7"/>
  <c r="H35" i="7"/>
  <c r="L48" i="7"/>
  <c r="K48" i="7"/>
  <c r="J48" i="7"/>
  <c r="H50" i="7"/>
  <c r="H64" i="7"/>
  <c r="F75" i="7"/>
  <c r="F61" i="7"/>
  <c r="H58" i="7"/>
  <c r="H72" i="7"/>
  <c r="H54" i="7"/>
  <c r="H68" i="7"/>
  <c r="H59" i="7"/>
  <c r="H73" i="7"/>
  <c r="H67" i="7"/>
  <c r="H53" i="7"/>
  <c r="H71" i="7"/>
  <c r="H57" i="7"/>
  <c r="L63" i="7"/>
  <c r="E9" i="11"/>
  <c r="E7" i="11"/>
  <c r="E30" i="7"/>
  <c r="E29" i="7"/>
  <c r="E28" i="7"/>
  <c r="E27" i="7"/>
  <c r="E26" i="7"/>
  <c r="E29" i="11"/>
  <c r="E25" i="11"/>
  <c r="E23" i="11"/>
  <c r="E49" i="11"/>
  <c r="E21" i="11"/>
  <c r="E19" i="11"/>
  <c r="E42" i="11"/>
  <c r="G42" i="11"/>
  <c r="E18" i="11"/>
  <c r="E16" i="11"/>
  <c r="E14" i="11"/>
  <c r="E34" i="11"/>
  <c r="G34" i="11"/>
  <c r="E13" i="11"/>
  <c r="E33" i="11"/>
  <c r="G33" i="11"/>
  <c r="E6" i="11"/>
  <c r="E47" i="11"/>
  <c r="G47" i="11"/>
  <c r="E4" i="11"/>
  <c r="E40" i="11"/>
  <c r="G40" i="11"/>
  <c r="E30" i="9"/>
  <c r="E35" i="9"/>
  <c r="E28" i="9"/>
  <c r="E43" i="9"/>
  <c r="G43" i="9"/>
  <c r="E27" i="9"/>
  <c r="E26" i="9"/>
  <c r="E36" i="9"/>
  <c r="G36" i="9"/>
  <c r="E24" i="9"/>
  <c r="E22" i="9"/>
  <c r="E37" i="9"/>
  <c r="G37" i="9"/>
  <c r="E20" i="9"/>
  <c r="E17" i="9"/>
  <c r="E15" i="9"/>
  <c r="E44" i="9"/>
  <c r="G44" i="9"/>
  <c r="E12" i="9"/>
  <c r="E11" i="9"/>
  <c r="E39" i="9"/>
  <c r="G39" i="9"/>
  <c r="E10" i="9"/>
  <c r="E46" i="9"/>
  <c r="E8" i="9"/>
  <c r="E41" i="9"/>
  <c r="G41" i="9"/>
  <c r="E6" i="9"/>
  <c r="E47" i="9"/>
  <c r="G47" i="9"/>
  <c r="E4" i="9"/>
  <c r="E40" i="9"/>
  <c r="G40" i="9"/>
  <c r="E10" i="11"/>
  <c r="E46" i="11"/>
  <c r="E8" i="11"/>
  <c r="E41" i="11"/>
  <c r="G41" i="11"/>
  <c r="E27" i="11"/>
  <c r="E11" i="11"/>
  <c r="E39" i="11"/>
  <c r="G39" i="11"/>
  <c r="E5" i="11"/>
  <c r="E29" i="9"/>
  <c r="E23" i="9"/>
  <c r="E49" i="9"/>
  <c r="E21" i="9"/>
  <c r="E18" i="9"/>
  <c r="E7" i="9"/>
  <c r="E2" i="9"/>
  <c r="E38" i="9"/>
  <c r="G38" i="9"/>
  <c r="E25" i="7"/>
  <c r="E24" i="7"/>
  <c r="E23" i="7"/>
  <c r="E22" i="7"/>
  <c r="E21" i="7"/>
  <c r="E20" i="7"/>
  <c r="E19" i="7"/>
  <c r="E18" i="7"/>
  <c r="E17" i="7"/>
  <c r="G17" i="7"/>
  <c r="E16" i="7"/>
  <c r="G16" i="7"/>
  <c r="E15" i="7"/>
  <c r="E14" i="7"/>
  <c r="E34" i="7"/>
  <c r="E13" i="7"/>
  <c r="E33" i="7"/>
  <c r="G33" i="7"/>
  <c r="E12" i="7"/>
  <c r="G12" i="7"/>
  <c r="E11" i="7"/>
  <c r="E39" i="7"/>
  <c r="G39" i="7"/>
  <c r="E10" i="7"/>
  <c r="E46" i="7"/>
  <c r="E9" i="7"/>
  <c r="G9" i="7"/>
  <c r="E8" i="7"/>
  <c r="E41" i="7"/>
  <c r="G41" i="7"/>
  <c r="E7" i="7"/>
  <c r="E6" i="7"/>
  <c r="E47" i="7"/>
  <c r="E5" i="7"/>
  <c r="G5" i="7"/>
  <c r="E4" i="7"/>
  <c r="E40" i="7"/>
  <c r="G40" i="7"/>
  <c r="E2" i="7"/>
  <c r="E38" i="7"/>
  <c r="G38" i="7"/>
  <c r="E30" i="11"/>
  <c r="E35" i="11"/>
  <c r="G35" i="11"/>
  <c r="E20" i="11"/>
  <c r="E17" i="11"/>
  <c r="E12" i="11"/>
  <c r="E2" i="11"/>
  <c r="E38" i="11"/>
  <c r="G38" i="11"/>
  <c r="E16" i="9"/>
  <c r="E13" i="9"/>
  <c r="E33" i="9"/>
  <c r="G33" i="9"/>
  <c r="E28" i="11"/>
  <c r="E43" i="11"/>
  <c r="G43" i="11"/>
  <c r="E22" i="11"/>
  <c r="E37" i="11"/>
  <c r="G37" i="11"/>
  <c r="E25" i="9"/>
  <c r="E19" i="9"/>
  <c r="E42" i="9"/>
  <c r="G42" i="9"/>
  <c r="E14" i="9"/>
  <c r="E34" i="9"/>
  <c r="G34" i="9"/>
  <c r="E26" i="11"/>
  <c r="E36" i="11"/>
  <c r="G36" i="11"/>
  <c r="E24" i="11"/>
  <c r="E15" i="11"/>
  <c r="E44" i="11"/>
  <c r="G44" i="11"/>
  <c r="E9" i="9"/>
  <c r="E5" i="9"/>
  <c r="E3" i="7"/>
  <c r="E32" i="7"/>
  <c r="G32" i="7"/>
  <c r="E3" i="11"/>
  <c r="E32" i="11"/>
  <c r="E3" i="9"/>
  <c r="E32" i="9"/>
  <c r="G32" i="9"/>
  <c r="H70" i="7"/>
  <c r="H56" i="7"/>
  <c r="F66" i="7"/>
  <c r="F52" i="7"/>
  <c r="F74" i="7"/>
  <c r="F60" i="7"/>
  <c r="F46" i="7"/>
  <c r="F47" i="7"/>
  <c r="I48" i="7"/>
  <c r="I63" i="7"/>
  <c r="H62" i="7"/>
  <c r="H76" i="7"/>
  <c r="H55" i="7"/>
  <c r="H69" i="7"/>
  <c r="H66" i="7"/>
  <c r="H52" i="7"/>
  <c r="H74" i="7"/>
  <c r="H60" i="7"/>
  <c r="K63" i="7"/>
  <c r="H51" i="7"/>
  <c r="H65" i="7"/>
  <c r="H75" i="7"/>
  <c r="H61" i="7"/>
  <c r="F72" i="7"/>
  <c r="F58" i="7"/>
  <c r="H31" i="7"/>
  <c r="F68" i="7"/>
  <c r="F54" i="7"/>
  <c r="F73" i="7"/>
  <c r="F59" i="7"/>
  <c r="F67" i="7"/>
  <c r="F53" i="7"/>
  <c r="F71" i="7"/>
  <c r="F57" i="7"/>
  <c r="J63" i="7"/>
  <c r="E69" i="11"/>
  <c r="G69" i="11"/>
  <c r="E55" i="11"/>
  <c r="G55" i="11"/>
  <c r="E56" i="11"/>
  <c r="G56" i="11"/>
  <c r="E70" i="11"/>
  <c r="G70" i="11"/>
  <c r="E75" i="11"/>
  <c r="G75" i="11"/>
  <c r="E61" i="11"/>
  <c r="G61" i="11"/>
  <c r="E50" i="11"/>
  <c r="G50" i="11"/>
  <c r="E64" i="11"/>
  <c r="E54" i="11"/>
  <c r="G54" i="11"/>
  <c r="E68" i="11"/>
  <c r="G68" i="11"/>
  <c r="E62" i="11"/>
  <c r="G62" i="11"/>
  <c r="E76" i="11"/>
  <c r="G76" i="11"/>
  <c r="E71" i="11"/>
  <c r="G71" i="11"/>
  <c r="E57" i="11"/>
  <c r="G57" i="11"/>
  <c r="E60" i="11"/>
  <c r="G60" i="11"/>
  <c r="E74" i="11"/>
  <c r="G74" i="11"/>
  <c r="E51" i="11"/>
  <c r="G51" i="11"/>
  <c r="E65" i="11"/>
  <c r="G65" i="11"/>
  <c r="E31" i="11"/>
  <c r="G32" i="11"/>
  <c r="G31" i="11"/>
  <c r="E52" i="11"/>
  <c r="G52" i="11"/>
  <c r="E66" i="11"/>
  <c r="G66" i="11"/>
  <c r="E53" i="11"/>
  <c r="G53" i="11"/>
  <c r="E67" i="11"/>
  <c r="G67" i="11"/>
  <c r="E45" i="11"/>
  <c r="G46" i="11"/>
  <c r="G45" i="11"/>
  <c r="E58" i="11"/>
  <c r="G58" i="11"/>
  <c r="E72" i="11"/>
  <c r="G72" i="11"/>
  <c r="G49" i="11"/>
  <c r="E59" i="11"/>
  <c r="G59" i="11"/>
  <c r="G48" i="11"/>
  <c r="E73" i="11"/>
  <c r="G73" i="11"/>
  <c r="E76" i="9"/>
  <c r="G76" i="9"/>
  <c r="E62" i="9"/>
  <c r="G62" i="9"/>
  <c r="E67" i="9"/>
  <c r="G67" i="9"/>
  <c r="E53" i="9"/>
  <c r="G53" i="9"/>
  <c r="G49" i="9"/>
  <c r="E74" i="9"/>
  <c r="G74" i="9"/>
  <c r="E60" i="9"/>
  <c r="G60" i="9"/>
  <c r="E72" i="9"/>
  <c r="G72" i="9"/>
  <c r="E58" i="9"/>
  <c r="G58" i="9"/>
  <c r="G35" i="9"/>
  <c r="G31" i="9"/>
  <c r="E68" i="9"/>
  <c r="G68" i="9"/>
  <c r="E54" i="9"/>
  <c r="G54" i="9"/>
  <c r="E73" i="9"/>
  <c r="G73" i="9"/>
  <c r="E59" i="9"/>
  <c r="G59" i="9"/>
  <c r="E71" i="9"/>
  <c r="G71" i="9"/>
  <c r="E57" i="9"/>
  <c r="G57" i="9"/>
  <c r="E69" i="9"/>
  <c r="G69" i="9"/>
  <c r="E55" i="9"/>
  <c r="G55" i="9"/>
  <c r="E31" i="9"/>
  <c r="E64" i="9"/>
  <c r="E50" i="9"/>
  <c r="G50" i="9"/>
  <c r="E65" i="9"/>
  <c r="G65" i="9"/>
  <c r="E51" i="9"/>
  <c r="G51" i="9"/>
  <c r="E70" i="9"/>
  <c r="G70" i="9"/>
  <c r="E56" i="9"/>
  <c r="G56" i="9"/>
  <c r="E75" i="9"/>
  <c r="G75" i="9"/>
  <c r="E61" i="9"/>
  <c r="G61" i="9"/>
  <c r="E45" i="9"/>
  <c r="G46" i="9"/>
  <c r="G45" i="9"/>
  <c r="E66" i="9"/>
  <c r="G66" i="9"/>
  <c r="E52" i="9"/>
  <c r="G52" i="9"/>
  <c r="E44" i="7"/>
  <c r="G44" i="7"/>
  <c r="G15" i="7"/>
  <c r="G13" i="7"/>
  <c r="G10" i="7"/>
  <c r="G4" i="7"/>
  <c r="G8" i="7"/>
  <c r="G6" i="7"/>
  <c r="G11" i="7"/>
  <c r="F45" i="7"/>
  <c r="F63" i="7"/>
  <c r="F48" i="7"/>
  <c r="H48" i="7"/>
  <c r="G9" i="9"/>
  <c r="G15" i="11"/>
  <c r="G20" i="11"/>
  <c r="E59" i="7"/>
  <c r="G59" i="7"/>
  <c r="E73" i="7"/>
  <c r="G73" i="7"/>
  <c r="G34" i="7"/>
  <c r="E75" i="7"/>
  <c r="G75" i="7"/>
  <c r="E61" i="7"/>
  <c r="G61" i="7"/>
  <c r="E42" i="7"/>
  <c r="G42" i="7"/>
  <c r="G19" i="7"/>
  <c r="E65" i="7"/>
  <c r="G65" i="7"/>
  <c r="E51" i="7"/>
  <c r="G51" i="7"/>
  <c r="G21" i="7"/>
  <c r="E49" i="7"/>
  <c r="G49" i="7"/>
  <c r="G23" i="7"/>
  <c r="E64" i="7"/>
  <c r="G64" i="7"/>
  <c r="E50" i="7"/>
  <c r="G25" i="7"/>
  <c r="G2" i="9"/>
  <c r="G7" i="9"/>
  <c r="G8" i="11"/>
  <c r="G10" i="9"/>
  <c r="G15" i="9"/>
  <c r="G24" i="9"/>
  <c r="G26" i="9"/>
  <c r="G6" i="11"/>
  <c r="G18" i="11"/>
  <c r="G21" i="11"/>
  <c r="G23" i="11"/>
  <c r="G29" i="11"/>
  <c r="E71" i="7"/>
  <c r="G71" i="7"/>
  <c r="E57" i="7"/>
  <c r="G57" i="7"/>
  <c r="G29" i="7"/>
  <c r="G7" i="11"/>
  <c r="G18" i="7"/>
  <c r="G7" i="7"/>
  <c r="G5" i="9"/>
  <c r="G14" i="9"/>
  <c r="G16" i="9"/>
  <c r="G2" i="11"/>
  <c r="E45" i="7"/>
  <c r="G46" i="7"/>
  <c r="E74" i="7"/>
  <c r="G74" i="7"/>
  <c r="E60" i="7"/>
  <c r="G60" i="7"/>
  <c r="E66" i="7"/>
  <c r="E52" i="7"/>
  <c r="G52" i="7"/>
  <c r="E70" i="7"/>
  <c r="G70" i="7"/>
  <c r="E56" i="7"/>
  <c r="G56" i="7"/>
  <c r="G20" i="7"/>
  <c r="E69" i="7"/>
  <c r="G69" i="7"/>
  <c r="E55" i="7"/>
  <c r="G55" i="7"/>
  <c r="G24" i="7"/>
  <c r="G11" i="9"/>
  <c r="G27" i="9"/>
  <c r="G13" i="11"/>
  <c r="G16" i="11"/>
  <c r="E36" i="7"/>
  <c r="G36" i="7"/>
  <c r="G26" i="7"/>
  <c r="E35" i="7"/>
  <c r="G35" i="7"/>
  <c r="G30" i="7"/>
  <c r="G2" i="7"/>
  <c r="H63" i="7"/>
  <c r="G26" i="11"/>
  <c r="G19" i="9"/>
  <c r="G22" i="11"/>
  <c r="G28" i="11"/>
  <c r="G13" i="9"/>
  <c r="G12" i="11"/>
  <c r="G17" i="11"/>
  <c r="G30" i="11"/>
  <c r="E67" i="7"/>
  <c r="G67" i="7"/>
  <c r="E53" i="7"/>
  <c r="G53" i="7"/>
  <c r="E68" i="7"/>
  <c r="G68" i="7"/>
  <c r="E54" i="7"/>
  <c r="G54" i="7"/>
  <c r="E72" i="7"/>
  <c r="G72" i="7"/>
  <c r="E58" i="7"/>
  <c r="G58" i="7"/>
  <c r="G18" i="9"/>
  <c r="G23" i="9"/>
  <c r="G29" i="9"/>
  <c r="G5" i="11"/>
  <c r="G11" i="11"/>
  <c r="G10" i="11"/>
  <c r="G4" i="9"/>
  <c r="G8" i="9"/>
  <c r="G12" i="9"/>
  <c r="G17" i="9"/>
  <c r="G20" i="9"/>
  <c r="G30" i="9"/>
  <c r="G14" i="11"/>
  <c r="G19" i="11"/>
  <c r="G25" i="11"/>
  <c r="G14" i="7"/>
  <c r="G24" i="11"/>
  <c r="G25" i="9"/>
  <c r="G47" i="7"/>
  <c r="E37" i="7"/>
  <c r="G37" i="7"/>
  <c r="G22" i="7"/>
  <c r="G21" i="9"/>
  <c r="G27" i="11"/>
  <c r="G6" i="9"/>
  <c r="G22" i="9"/>
  <c r="G28" i="9"/>
  <c r="G4" i="11"/>
  <c r="E76" i="7"/>
  <c r="G76" i="7"/>
  <c r="E62" i="7"/>
  <c r="G27" i="7"/>
  <c r="E43" i="7"/>
  <c r="G43" i="7"/>
  <c r="G28" i="7"/>
  <c r="G9" i="11"/>
  <c r="E63" i="11"/>
  <c r="G64" i="11"/>
  <c r="G63" i="11"/>
  <c r="E48" i="11"/>
  <c r="G48" i="9"/>
  <c r="E63" i="9"/>
  <c r="G64" i="9"/>
  <c r="G63" i="9"/>
  <c r="E48" i="9"/>
  <c r="G31" i="7"/>
  <c r="E48" i="7"/>
  <c r="G50" i="7"/>
  <c r="E31" i="7"/>
  <c r="AP30" i="13"/>
  <c r="AP35" i="13"/>
  <c r="AB30" i="13"/>
  <c r="AB35" i="13"/>
  <c r="D30" i="13"/>
  <c r="D35" i="13"/>
  <c r="AO30" i="13"/>
  <c r="AO35" i="13"/>
  <c r="AA30" i="13"/>
  <c r="AA35" i="13"/>
  <c r="O30" i="13"/>
  <c r="O35" i="13"/>
  <c r="AD30" i="13"/>
  <c r="AD35" i="13"/>
  <c r="Z30" i="13"/>
  <c r="Z35" i="13"/>
  <c r="F30" i="13"/>
  <c r="F35" i="13"/>
  <c r="AC30" i="13"/>
  <c r="AC35" i="13"/>
  <c r="Q30" i="13"/>
  <c r="Q35" i="13"/>
  <c r="AC29" i="13"/>
  <c r="Q29" i="13"/>
  <c r="AD28" i="13"/>
  <c r="AD43" i="13"/>
  <c r="Z28" i="13"/>
  <c r="Z43" i="13"/>
  <c r="F28" i="13"/>
  <c r="F43" i="13"/>
  <c r="AD27" i="13"/>
  <c r="Z27" i="13"/>
  <c r="F27" i="13"/>
  <c r="AP26" i="13"/>
  <c r="AP36" i="13"/>
  <c r="AB26" i="13"/>
  <c r="AB36" i="13"/>
  <c r="D26" i="13"/>
  <c r="D36" i="13"/>
  <c r="AC25" i="13"/>
  <c r="Q25" i="13"/>
  <c r="AP24" i="13"/>
  <c r="AB24" i="13"/>
  <c r="D24" i="13"/>
  <c r="AC23" i="13"/>
  <c r="AC49" i="13"/>
  <c r="Q23" i="13"/>
  <c r="Q49" i="13"/>
  <c r="AD22" i="13"/>
  <c r="AD37" i="13"/>
  <c r="Z22" i="13"/>
  <c r="Z37" i="13"/>
  <c r="F22" i="13"/>
  <c r="F37" i="13"/>
  <c r="AC21" i="13"/>
  <c r="Q21" i="13"/>
  <c r="AP20" i="13"/>
  <c r="AB20" i="13"/>
  <c r="D20" i="13"/>
  <c r="AC19" i="13"/>
  <c r="AC42" i="13"/>
  <c r="Q19" i="13"/>
  <c r="Q42" i="13"/>
  <c r="AC18" i="13"/>
  <c r="Q18" i="13"/>
  <c r="AP29" i="13"/>
  <c r="AB29" i="13"/>
  <c r="D29" i="13"/>
  <c r="AC28" i="13"/>
  <c r="AC43" i="13"/>
  <c r="Q28" i="13"/>
  <c r="Q43" i="13"/>
  <c r="AC27" i="13"/>
  <c r="Q27" i="13"/>
  <c r="AO26" i="13"/>
  <c r="AO36" i="13"/>
  <c r="AQ36" i="13"/>
  <c r="AA26" i="13"/>
  <c r="AA36" i="13"/>
  <c r="O26" i="13"/>
  <c r="O36" i="13"/>
  <c r="AP25" i="13"/>
  <c r="AB25" i="13"/>
  <c r="D25" i="13"/>
  <c r="AO24" i="13"/>
  <c r="AA24" i="13"/>
  <c r="O24" i="13"/>
  <c r="AP23" i="13"/>
  <c r="AP49" i="13"/>
  <c r="AB23" i="13"/>
  <c r="AB49" i="13"/>
  <c r="D23" i="13"/>
  <c r="D49" i="13"/>
  <c r="AC22" i="13"/>
  <c r="AC37" i="13"/>
  <c r="Q22" i="13"/>
  <c r="Q37" i="13"/>
  <c r="AP21" i="13"/>
  <c r="AB21" i="13"/>
  <c r="D21" i="13"/>
  <c r="AO20" i="13"/>
  <c r="AA20" i="13"/>
  <c r="O20" i="13"/>
  <c r="AP19" i="13"/>
  <c r="AP42" i="13"/>
  <c r="AB19" i="13"/>
  <c r="AB42" i="13"/>
  <c r="D19" i="13"/>
  <c r="D42" i="13"/>
  <c r="AP18" i="13"/>
  <c r="AB18" i="13"/>
  <c r="D18" i="13"/>
  <c r="AO29" i="13"/>
  <c r="AA29" i="13"/>
  <c r="O29" i="13"/>
  <c r="AP28" i="13"/>
  <c r="AP43" i="13"/>
  <c r="AB28" i="13"/>
  <c r="AB43" i="13"/>
  <c r="D28" i="13"/>
  <c r="D43" i="13"/>
  <c r="AP27" i="13"/>
  <c r="AB27" i="13"/>
  <c r="D27" i="13"/>
  <c r="AD26" i="13"/>
  <c r="AD36" i="13"/>
  <c r="Z26" i="13"/>
  <c r="Z36" i="13"/>
  <c r="F26" i="13"/>
  <c r="F36" i="13"/>
  <c r="AO25" i="13"/>
  <c r="AA25" i="13"/>
  <c r="O25" i="13"/>
  <c r="AD24" i="13"/>
  <c r="Z24" i="13"/>
  <c r="F24" i="13"/>
  <c r="AO23" i="13"/>
  <c r="AO49" i="13"/>
  <c r="AA23" i="13"/>
  <c r="AA49" i="13"/>
  <c r="O23" i="13"/>
  <c r="O49" i="13"/>
  <c r="AP22" i="13"/>
  <c r="AP37" i="13"/>
  <c r="AB22" i="13"/>
  <c r="AB37" i="13"/>
  <c r="D22" i="13"/>
  <c r="D37" i="13"/>
  <c r="AO21" i="13"/>
  <c r="AA21" i="13"/>
  <c r="O21" i="13"/>
  <c r="AD20" i="13"/>
  <c r="Z20" i="13"/>
  <c r="F20" i="13"/>
  <c r="AO19" i="13"/>
  <c r="AO42" i="13"/>
  <c r="AA19" i="13"/>
  <c r="AA42" i="13"/>
  <c r="O19" i="13"/>
  <c r="O42" i="13"/>
  <c r="AO18" i="13"/>
  <c r="AA18" i="13"/>
  <c r="O18" i="13"/>
  <c r="AD29" i="13"/>
  <c r="Z29" i="13"/>
  <c r="F29" i="13"/>
  <c r="AO28" i="13"/>
  <c r="AO43" i="13"/>
  <c r="AA28" i="13"/>
  <c r="AA43" i="13"/>
  <c r="O28" i="13"/>
  <c r="O43" i="13"/>
  <c r="AO27" i="13"/>
  <c r="AA27" i="13"/>
  <c r="O27" i="13"/>
  <c r="AC26" i="13"/>
  <c r="AC36" i="13"/>
  <c r="Q26" i="13"/>
  <c r="Q36" i="13"/>
  <c r="AD25" i="13"/>
  <c r="Z25" i="13"/>
  <c r="F25" i="13"/>
  <c r="AC24" i="13"/>
  <c r="Q24" i="13"/>
  <c r="AD23" i="13"/>
  <c r="AD49" i="13"/>
  <c r="Z23" i="13"/>
  <c r="Z49" i="13"/>
  <c r="F23" i="13"/>
  <c r="F49" i="13"/>
  <c r="AO22" i="13"/>
  <c r="AO37" i="13"/>
  <c r="AA22" i="13"/>
  <c r="AA37" i="13"/>
  <c r="O22" i="13"/>
  <c r="O37" i="13"/>
  <c r="AD21" i="13"/>
  <c r="Z21" i="13"/>
  <c r="F21" i="13"/>
  <c r="AC20" i="13"/>
  <c r="Q20" i="13"/>
  <c r="AD19" i="13"/>
  <c r="AD42" i="13"/>
  <c r="Z19" i="13"/>
  <c r="Z42" i="13"/>
  <c r="F19" i="13"/>
  <c r="F42" i="13"/>
  <c r="AD18" i="13"/>
  <c r="Z18" i="13"/>
  <c r="F18" i="13"/>
  <c r="AC17" i="13"/>
  <c r="Q17" i="13"/>
  <c r="AP16" i="13"/>
  <c r="AB16" i="13"/>
  <c r="D16" i="13"/>
  <c r="AC15" i="13"/>
  <c r="AC44" i="13"/>
  <c r="Q15" i="13"/>
  <c r="Q44" i="13"/>
  <c r="AD14" i="13"/>
  <c r="AD34" i="13"/>
  <c r="Z14" i="13"/>
  <c r="Z34" i="13"/>
  <c r="F14" i="13"/>
  <c r="F34" i="13"/>
  <c r="AP13" i="13"/>
  <c r="AP33" i="13"/>
  <c r="AB13" i="13"/>
  <c r="AB33" i="13"/>
  <c r="D13" i="13"/>
  <c r="D33" i="13"/>
  <c r="AC12" i="13"/>
  <c r="Q12" i="13"/>
  <c r="AC11" i="13"/>
  <c r="AC39" i="13"/>
  <c r="Q11" i="13"/>
  <c r="Q39" i="13"/>
  <c r="AP17" i="13"/>
  <c r="AB17" i="13"/>
  <c r="D17" i="13"/>
  <c r="AO16" i="13"/>
  <c r="AA16" i="13"/>
  <c r="O16" i="13"/>
  <c r="AP15" i="13"/>
  <c r="AP44" i="13"/>
  <c r="AB15" i="13"/>
  <c r="AB44" i="13"/>
  <c r="D15" i="13"/>
  <c r="D44" i="13"/>
  <c r="AC14" i="13"/>
  <c r="AC34" i="13"/>
  <c r="Q14" i="13"/>
  <c r="Q34" i="13"/>
  <c r="AO13" i="13"/>
  <c r="AO33" i="13"/>
  <c r="AA13" i="13"/>
  <c r="AA33" i="13"/>
  <c r="O13" i="13"/>
  <c r="O33" i="13"/>
  <c r="AP12" i="13"/>
  <c r="AB12" i="13"/>
  <c r="D12" i="13"/>
  <c r="AP11" i="13"/>
  <c r="AP39" i="13"/>
  <c r="AB11" i="13"/>
  <c r="AB39" i="13"/>
  <c r="D11" i="13"/>
  <c r="D39" i="13"/>
  <c r="AO17" i="13"/>
  <c r="AA17" i="13"/>
  <c r="O17" i="13"/>
  <c r="AD16" i="13"/>
  <c r="Z16" i="13"/>
  <c r="F16" i="13"/>
  <c r="AO15" i="13"/>
  <c r="AO44" i="13"/>
  <c r="AA15" i="13"/>
  <c r="AA44" i="13"/>
  <c r="O15" i="13"/>
  <c r="O44" i="13"/>
  <c r="AP14" i="13"/>
  <c r="AP34" i="13"/>
  <c r="AB14" i="13"/>
  <c r="AB34" i="13"/>
  <c r="D14" i="13"/>
  <c r="D34" i="13"/>
  <c r="AD13" i="13"/>
  <c r="AD33" i="13"/>
  <c r="Z13" i="13"/>
  <c r="Z33" i="13"/>
  <c r="F13" i="13"/>
  <c r="F33" i="13"/>
  <c r="AO12" i="13"/>
  <c r="AA12" i="13"/>
  <c r="O12" i="13"/>
  <c r="AO11" i="13"/>
  <c r="AO39" i="13"/>
  <c r="AA11" i="13"/>
  <c r="AA39" i="13"/>
  <c r="O11" i="13"/>
  <c r="O39" i="13"/>
  <c r="AD17" i="13"/>
  <c r="Z17" i="13"/>
  <c r="F17" i="13"/>
  <c r="AC16" i="13"/>
  <c r="Q16" i="13"/>
  <c r="AD15" i="13"/>
  <c r="AD44" i="13"/>
  <c r="Z15" i="13"/>
  <c r="Z44" i="13"/>
  <c r="AO14" i="13"/>
  <c r="AO34" i="13"/>
  <c r="AA14" i="13"/>
  <c r="AA34" i="13"/>
  <c r="O14" i="13"/>
  <c r="O34" i="13"/>
  <c r="AC13" i="13"/>
  <c r="AC33" i="13"/>
  <c r="Q13" i="13"/>
  <c r="Q33" i="13"/>
  <c r="AD12" i="13"/>
  <c r="Z12" i="13"/>
  <c r="F12" i="13"/>
  <c r="AD11" i="13"/>
  <c r="AD39" i="13"/>
  <c r="Z11" i="13"/>
  <c r="Z39" i="13"/>
  <c r="F11" i="13"/>
  <c r="F39" i="13"/>
  <c r="AO10" i="13"/>
  <c r="AO46" i="13"/>
  <c r="AA10" i="13"/>
  <c r="AA46" i="13"/>
  <c r="O10" i="13"/>
  <c r="O46" i="13"/>
  <c r="AD9" i="13"/>
  <c r="Z9" i="13"/>
  <c r="F9" i="13"/>
  <c r="AO8" i="13"/>
  <c r="AO41" i="13"/>
  <c r="AA8" i="13"/>
  <c r="AA41" i="13"/>
  <c r="O8" i="13"/>
  <c r="O41" i="13"/>
  <c r="AP7" i="13"/>
  <c r="AB7" i="13"/>
  <c r="D7" i="13"/>
  <c r="AC6" i="13"/>
  <c r="AC47" i="13"/>
  <c r="Q6" i="13"/>
  <c r="Q47" i="13"/>
  <c r="AD5" i="13"/>
  <c r="Z5" i="13"/>
  <c r="F5" i="13"/>
  <c r="AO4" i="13"/>
  <c r="AO40" i="13"/>
  <c r="AA4" i="13"/>
  <c r="AA40" i="13"/>
  <c r="O4" i="13"/>
  <c r="O40" i="13"/>
  <c r="AP2" i="13"/>
  <c r="AP38" i="13"/>
  <c r="AB2" i="13"/>
  <c r="AB38" i="13"/>
  <c r="D2" i="13"/>
  <c r="D38" i="13"/>
  <c r="AD10" i="13"/>
  <c r="AD46" i="13"/>
  <c r="Z10" i="13"/>
  <c r="Z46" i="13"/>
  <c r="F10" i="13"/>
  <c r="F46" i="13"/>
  <c r="AC9" i="13"/>
  <c r="Q9" i="13"/>
  <c r="AD8" i="13"/>
  <c r="AD41" i="13"/>
  <c r="Z8" i="13"/>
  <c r="Z41" i="13"/>
  <c r="F8" i="13"/>
  <c r="F41" i="13"/>
  <c r="AO7" i="13"/>
  <c r="AA7" i="13"/>
  <c r="O7" i="13"/>
  <c r="AP6" i="13"/>
  <c r="AP47" i="13"/>
  <c r="AB6" i="13"/>
  <c r="AB47" i="13"/>
  <c r="D6" i="13"/>
  <c r="D47" i="13"/>
  <c r="AC5" i="13"/>
  <c r="Q5" i="13"/>
  <c r="AD4" i="13"/>
  <c r="AD40" i="13"/>
  <c r="Z4" i="13"/>
  <c r="Z40" i="13"/>
  <c r="F4" i="13"/>
  <c r="F40" i="13"/>
  <c r="AO2" i="13"/>
  <c r="AO38" i="13"/>
  <c r="AA2" i="13"/>
  <c r="AA38" i="13"/>
  <c r="O2" i="13"/>
  <c r="O38" i="13"/>
  <c r="AC10" i="13"/>
  <c r="AC46" i="13"/>
  <c r="AC45" i="13"/>
  <c r="Q10" i="13"/>
  <c r="AP9" i="13"/>
  <c r="AB9" i="13"/>
  <c r="D9" i="13"/>
  <c r="AC8" i="13"/>
  <c r="AC41" i="13"/>
  <c r="Q8" i="13"/>
  <c r="Q41" i="13"/>
  <c r="AD7" i="13"/>
  <c r="Z7" i="13"/>
  <c r="F7" i="13"/>
  <c r="AO6" i="13"/>
  <c r="AO47" i="13"/>
  <c r="AA6" i="13"/>
  <c r="AA47" i="13"/>
  <c r="O6" i="13"/>
  <c r="O47" i="13"/>
  <c r="AP5" i="13"/>
  <c r="AB5" i="13"/>
  <c r="D5" i="13"/>
  <c r="AC4" i="13"/>
  <c r="AC40" i="13"/>
  <c r="Q4" i="13"/>
  <c r="Q40" i="13"/>
  <c r="AD2" i="13"/>
  <c r="AD38" i="13"/>
  <c r="Z2" i="13"/>
  <c r="Z38" i="13"/>
  <c r="F2" i="13"/>
  <c r="F38" i="13"/>
  <c r="AP10" i="13"/>
  <c r="AP46" i="13"/>
  <c r="AB10" i="13"/>
  <c r="AB46" i="13"/>
  <c r="D10" i="13"/>
  <c r="D46" i="13"/>
  <c r="AO9" i="13"/>
  <c r="AA9" i="13"/>
  <c r="O9" i="13"/>
  <c r="AP8" i="13"/>
  <c r="AP41" i="13"/>
  <c r="AB8" i="13"/>
  <c r="AB41" i="13"/>
  <c r="D8" i="13"/>
  <c r="D41" i="13"/>
  <c r="AC7" i="13"/>
  <c r="Q7" i="13"/>
  <c r="AD6" i="13"/>
  <c r="AD47" i="13"/>
  <c r="Z6" i="13"/>
  <c r="Z47" i="13"/>
  <c r="Z45" i="13"/>
  <c r="F6" i="13"/>
  <c r="F47" i="13"/>
  <c r="AO5" i="13"/>
  <c r="AA5" i="13"/>
  <c r="O5" i="13"/>
  <c r="AP4" i="13"/>
  <c r="AP40" i="13"/>
  <c r="AB4" i="13"/>
  <c r="AB40" i="13"/>
  <c r="D4" i="13"/>
  <c r="D40" i="13"/>
  <c r="AC2" i="13"/>
  <c r="AC38" i="13"/>
  <c r="Q2" i="13"/>
  <c r="Q38" i="13"/>
  <c r="AB3" i="13"/>
  <c r="AB32" i="13"/>
  <c r="D3" i="13"/>
  <c r="D32" i="13"/>
  <c r="AA3" i="13"/>
  <c r="AA32" i="13"/>
  <c r="O3" i="13"/>
  <c r="O32" i="13"/>
  <c r="AD3" i="13"/>
  <c r="AD32" i="13"/>
  <c r="Z3" i="13"/>
  <c r="Z32" i="13"/>
  <c r="F3" i="13"/>
  <c r="F32" i="13"/>
  <c r="AC3" i="13"/>
  <c r="AC32" i="13"/>
  <c r="Q3" i="13"/>
  <c r="Q32" i="13"/>
  <c r="G45" i="7"/>
  <c r="E63" i="7"/>
  <c r="G66" i="7"/>
  <c r="G63" i="7"/>
  <c r="AP3" i="13"/>
  <c r="AP32" i="13"/>
  <c r="AO3" i="13"/>
  <c r="AO32" i="13"/>
  <c r="AQ47" i="13"/>
  <c r="AQ33" i="13"/>
  <c r="AQ43" i="13"/>
  <c r="AQ37" i="13"/>
  <c r="AQ39" i="13"/>
  <c r="AD45" i="13"/>
  <c r="AD31" i="13"/>
  <c r="AB45" i="13"/>
  <c r="AP31" i="13"/>
  <c r="Z31" i="13"/>
  <c r="F31" i="13"/>
  <c r="AA67" i="13"/>
  <c r="AA53" i="13"/>
  <c r="D53" i="13"/>
  <c r="D67" i="13"/>
  <c r="AD73" i="13"/>
  <c r="AD59" i="13"/>
  <c r="AP68" i="13"/>
  <c r="AP54" i="13"/>
  <c r="AO73" i="13"/>
  <c r="AO59" i="13"/>
  <c r="AC54" i="13"/>
  <c r="AC68" i="13"/>
  <c r="F67" i="13"/>
  <c r="F53" i="13"/>
  <c r="AD68" i="13"/>
  <c r="AD54" i="13"/>
  <c r="AO45" i="13"/>
  <c r="AO74" i="13"/>
  <c r="AO60" i="13"/>
  <c r="AD58" i="13"/>
  <c r="AD72" i="13"/>
  <c r="AO66" i="13"/>
  <c r="AO52" i="13"/>
  <c r="AB60" i="13"/>
  <c r="AB74" i="13"/>
  <c r="AA72" i="13"/>
  <c r="AA58" i="13"/>
  <c r="AB66" i="13"/>
  <c r="AB52" i="13"/>
  <c r="D72" i="13"/>
  <c r="D58" i="13"/>
  <c r="AC70" i="13"/>
  <c r="AC56" i="13"/>
  <c r="Z65" i="13"/>
  <c r="Z51" i="13"/>
  <c r="AD64" i="13"/>
  <c r="AD50" i="13"/>
  <c r="AA76" i="13"/>
  <c r="AA62" i="13"/>
  <c r="O75" i="13"/>
  <c r="O61" i="13"/>
  <c r="AD70" i="13"/>
  <c r="AD56" i="13"/>
  <c r="AO51" i="13"/>
  <c r="AO65" i="13"/>
  <c r="AP76" i="13"/>
  <c r="AP62" i="13"/>
  <c r="O71" i="13"/>
  <c r="O57" i="13"/>
  <c r="AA56" i="13"/>
  <c r="AA70" i="13"/>
  <c r="AB51" i="13"/>
  <c r="AB65" i="13"/>
  <c r="AO55" i="13"/>
  <c r="AO69" i="13"/>
  <c r="AP64" i="13"/>
  <c r="AP50" i="13"/>
  <c r="Q76" i="13"/>
  <c r="Q62" i="13"/>
  <c r="AC75" i="13"/>
  <c r="AC61" i="13"/>
  <c r="D70" i="13"/>
  <c r="D56" i="13"/>
  <c r="AB69" i="13"/>
  <c r="AB55" i="13"/>
  <c r="Q64" i="13"/>
  <c r="Q50" i="13"/>
  <c r="AC71" i="13"/>
  <c r="AC57" i="13"/>
  <c r="D31" i="13"/>
  <c r="Q31" i="13"/>
  <c r="AO53" i="13"/>
  <c r="AO67" i="13"/>
  <c r="Q73" i="13"/>
  <c r="Q59" i="13"/>
  <c r="O54" i="13"/>
  <c r="O68" i="13"/>
  <c r="D45" i="13"/>
  <c r="AB67" i="13"/>
  <c r="AB53" i="13"/>
  <c r="Q53" i="13"/>
  <c r="Q67" i="13"/>
  <c r="Z53" i="13"/>
  <c r="Z67" i="13"/>
  <c r="D73" i="13"/>
  <c r="D59" i="13"/>
  <c r="AQ41" i="13"/>
  <c r="F74" i="13"/>
  <c r="F60" i="13"/>
  <c r="AA31" i="13"/>
  <c r="Q72" i="13"/>
  <c r="Q58" i="13"/>
  <c r="F66" i="13"/>
  <c r="F52" i="13"/>
  <c r="AQ44" i="13"/>
  <c r="AP74" i="13"/>
  <c r="AP60" i="13"/>
  <c r="AO72" i="13"/>
  <c r="AO58" i="13"/>
  <c r="AP66" i="13"/>
  <c r="AP52" i="13"/>
  <c r="Q60" i="13"/>
  <c r="Q74" i="13"/>
  <c r="AB58" i="13"/>
  <c r="AB72" i="13"/>
  <c r="Q52" i="13"/>
  <c r="Q66" i="13"/>
  <c r="F75" i="13"/>
  <c r="F61" i="13"/>
  <c r="AD65" i="13"/>
  <c r="AD51" i="13"/>
  <c r="AO62" i="13"/>
  <c r="AO76" i="13"/>
  <c r="F71" i="13"/>
  <c r="F57" i="13"/>
  <c r="AA61" i="13"/>
  <c r="AA75" i="13"/>
  <c r="AQ42" i="13"/>
  <c r="F55" i="13"/>
  <c r="F69" i="13"/>
  <c r="O50" i="13"/>
  <c r="O64" i="13"/>
  <c r="AA71" i="13"/>
  <c r="AA57" i="13"/>
  <c r="D61" i="13"/>
  <c r="D75" i="13"/>
  <c r="AO70" i="13"/>
  <c r="AO56" i="13"/>
  <c r="AP51" i="13"/>
  <c r="AP65" i="13"/>
  <c r="AC62" i="13"/>
  <c r="AC76" i="13"/>
  <c r="D57" i="13"/>
  <c r="D71" i="13"/>
  <c r="AB70" i="13"/>
  <c r="AB56" i="13"/>
  <c r="Q65" i="13"/>
  <c r="Q51" i="13"/>
  <c r="AP69" i="13"/>
  <c r="AP55" i="13"/>
  <c r="AC64" i="13"/>
  <c r="AC50" i="13"/>
  <c r="F76" i="13"/>
  <c r="F62" i="13"/>
  <c r="AQ32" i="13"/>
  <c r="AO31" i="13"/>
  <c r="AC59" i="13"/>
  <c r="AC73" i="13"/>
  <c r="AA68" i="13"/>
  <c r="AA54" i="13"/>
  <c r="AP53" i="13"/>
  <c r="AP67" i="13"/>
  <c r="F59" i="13"/>
  <c r="F73" i="13"/>
  <c r="D68" i="13"/>
  <c r="D54" i="13"/>
  <c r="AC67" i="13"/>
  <c r="AC53" i="13"/>
  <c r="O59" i="13"/>
  <c r="O73" i="13"/>
  <c r="AD67" i="13"/>
  <c r="AD53" i="13"/>
  <c r="AB59" i="13"/>
  <c r="AB73" i="13"/>
  <c r="F68" i="13"/>
  <c r="F54" i="13"/>
  <c r="O45" i="13"/>
  <c r="Z74" i="13"/>
  <c r="Z60" i="13"/>
  <c r="AC72" i="13"/>
  <c r="AC58" i="13"/>
  <c r="Z66" i="13"/>
  <c r="Z52" i="13"/>
  <c r="O74" i="13"/>
  <c r="O60" i="13"/>
  <c r="F72" i="13"/>
  <c r="F58" i="13"/>
  <c r="O66" i="13"/>
  <c r="O52" i="13"/>
  <c r="AC74" i="13"/>
  <c r="AC60" i="13"/>
  <c r="AP72" i="13"/>
  <c r="AP58" i="13"/>
  <c r="AC66" i="13"/>
  <c r="AC52" i="13"/>
  <c r="Z61" i="13"/>
  <c r="Z75" i="13"/>
  <c r="Q69" i="13"/>
  <c r="Q55" i="13"/>
  <c r="F64" i="13"/>
  <c r="F50" i="13"/>
  <c r="Z71" i="13"/>
  <c r="Z57" i="13"/>
  <c r="AO75" i="13"/>
  <c r="AO61" i="13"/>
  <c r="F70" i="13"/>
  <c r="F56" i="13"/>
  <c r="O51" i="13"/>
  <c r="O65" i="13"/>
  <c r="AQ49" i="13"/>
  <c r="Z69" i="13"/>
  <c r="Z55" i="13"/>
  <c r="AA64" i="13"/>
  <c r="AA50" i="13"/>
  <c r="D76" i="13"/>
  <c r="D62" i="13"/>
  <c r="AO57" i="13"/>
  <c r="AO71" i="13"/>
  <c r="AB75" i="13"/>
  <c r="AB61" i="13"/>
  <c r="O55" i="13"/>
  <c r="O69" i="13"/>
  <c r="D64" i="13"/>
  <c r="D50" i="13"/>
  <c r="AB71" i="13"/>
  <c r="AB57" i="13"/>
  <c r="AP70" i="13"/>
  <c r="AP56" i="13"/>
  <c r="AC65" i="13"/>
  <c r="AC51" i="13"/>
  <c r="Z62" i="13"/>
  <c r="Z76" i="13"/>
  <c r="AC31" i="13"/>
  <c r="O31" i="13"/>
  <c r="O67" i="13"/>
  <c r="O53" i="13"/>
  <c r="AO68" i="13"/>
  <c r="AO54" i="13"/>
  <c r="AQ46" i="13"/>
  <c r="AQ45" i="13"/>
  <c r="AP45" i="13"/>
  <c r="Z73" i="13"/>
  <c r="Z59" i="13"/>
  <c r="AB68" i="13"/>
  <c r="AB54" i="13"/>
  <c r="Q46" i="13"/>
  <c r="Q45" i="13"/>
  <c r="AA73" i="13"/>
  <c r="AA59" i="13"/>
  <c r="Q68" i="13"/>
  <c r="Q54" i="13"/>
  <c r="F45" i="13"/>
  <c r="AQ38" i="13"/>
  <c r="AQ40" i="13"/>
  <c r="AP73" i="13"/>
  <c r="AP59" i="13"/>
  <c r="Z68" i="13"/>
  <c r="Z54" i="13"/>
  <c r="AA45" i="13"/>
  <c r="AD74" i="13"/>
  <c r="AD60" i="13"/>
  <c r="AD66" i="13"/>
  <c r="AD52" i="13"/>
  <c r="AA60" i="13"/>
  <c r="AA74" i="13"/>
  <c r="AQ34" i="13"/>
  <c r="Z58" i="13"/>
  <c r="Z72" i="13"/>
  <c r="AA66" i="13"/>
  <c r="AA52" i="13"/>
  <c r="D74" i="13"/>
  <c r="D60" i="13"/>
  <c r="O58" i="13"/>
  <c r="O72" i="13"/>
  <c r="D66" i="13"/>
  <c r="D52" i="13"/>
  <c r="AB31" i="13"/>
  <c r="AD61" i="13"/>
  <c r="AD75" i="13"/>
  <c r="Q56" i="13"/>
  <c r="Q70" i="13"/>
  <c r="F51" i="13"/>
  <c r="F65" i="13"/>
  <c r="AC69" i="13"/>
  <c r="AC55" i="13"/>
  <c r="Z64" i="13"/>
  <c r="Z50" i="13"/>
  <c r="O62" i="13"/>
  <c r="O76" i="13"/>
  <c r="AD57" i="13"/>
  <c r="AD71" i="13"/>
  <c r="Z70" i="13"/>
  <c r="Z56" i="13"/>
  <c r="AA65" i="13"/>
  <c r="AA51" i="13"/>
  <c r="AD69" i="13"/>
  <c r="AD55" i="13"/>
  <c r="AO64" i="13"/>
  <c r="AO50" i="13"/>
  <c r="AB76" i="13"/>
  <c r="AB62" i="13"/>
  <c r="AP75" i="13"/>
  <c r="AP61" i="13"/>
  <c r="O70" i="13"/>
  <c r="O56" i="13"/>
  <c r="D65" i="13"/>
  <c r="D51" i="13"/>
  <c r="AA69" i="13"/>
  <c r="AA55" i="13"/>
  <c r="AB64" i="13"/>
  <c r="AB50" i="13"/>
  <c r="AP71" i="13"/>
  <c r="AP57" i="13"/>
  <c r="Q61" i="13"/>
  <c r="Q75" i="13"/>
  <c r="D69" i="13"/>
  <c r="D55" i="13"/>
  <c r="AD62" i="13"/>
  <c r="AD76" i="13"/>
  <c r="Q57" i="13"/>
  <c r="Q71" i="13"/>
  <c r="AQ35" i="13"/>
  <c r="AQ5" i="13"/>
  <c r="AQ10" i="13"/>
  <c r="AQ13" i="13"/>
  <c r="AQ19" i="13"/>
  <c r="AQ6" i="13"/>
  <c r="AQ4" i="13"/>
  <c r="AQ11" i="13"/>
  <c r="AQ15" i="13"/>
  <c r="AQ21" i="13"/>
  <c r="AQ26" i="13"/>
  <c r="AQ30" i="13"/>
  <c r="AQ9" i="13"/>
  <c r="AQ2" i="13"/>
  <c r="AQ7" i="13"/>
  <c r="AQ12" i="13"/>
  <c r="AQ17" i="13"/>
  <c r="AQ16" i="13"/>
  <c r="AQ27" i="13"/>
  <c r="AQ25" i="13"/>
  <c r="AQ20" i="13"/>
  <c r="AQ8" i="13"/>
  <c r="AQ14" i="13"/>
  <c r="AQ22" i="13"/>
  <c r="AQ28" i="13"/>
  <c r="AQ18" i="13"/>
  <c r="AQ23" i="13"/>
  <c r="AQ29" i="13"/>
  <c r="AQ24" i="13"/>
  <c r="AQ3" i="13"/>
  <c r="AQ68" i="13"/>
  <c r="AQ62" i="13"/>
  <c r="AB48" i="13"/>
  <c r="AO48" i="13"/>
  <c r="AD48" i="13"/>
  <c r="AQ58" i="13"/>
  <c r="Z48" i="13"/>
  <c r="AQ72" i="13"/>
  <c r="AC48" i="13"/>
  <c r="Q48" i="13"/>
  <c r="F48" i="13"/>
  <c r="AQ76" i="13"/>
  <c r="AP48" i="13"/>
  <c r="AQ70" i="13"/>
  <c r="AQ74" i="13"/>
  <c r="AQ64" i="13"/>
  <c r="AO63" i="13"/>
  <c r="AQ75" i="13"/>
  <c r="O63" i="13"/>
  <c r="AQ31" i="13"/>
  <c r="AC63" i="13"/>
  <c r="Q63" i="13"/>
  <c r="AP63" i="13"/>
  <c r="O48" i="13"/>
  <c r="AQ73" i="13"/>
  <c r="Z63" i="13"/>
  <c r="D63" i="13"/>
  <c r="AQ71" i="13"/>
  <c r="AA48" i="13"/>
  <c r="F63" i="13"/>
  <c r="AQ69" i="13"/>
  <c r="AQ52" i="13"/>
  <c r="AQ60" i="13"/>
  <c r="AQ54" i="13"/>
  <c r="AQ57" i="13"/>
  <c r="AA63" i="13"/>
  <c r="AQ67" i="13"/>
  <c r="AQ55" i="13"/>
  <c r="AQ65" i="13"/>
  <c r="AQ66" i="13"/>
  <c r="AQ61" i="13"/>
  <c r="D48" i="13"/>
  <c r="AQ56" i="13"/>
  <c r="AQ53" i="13"/>
  <c r="AQ50" i="13"/>
  <c r="AB63" i="13"/>
  <c r="AQ51" i="13"/>
  <c r="AD63" i="13"/>
  <c r="AQ59" i="13"/>
  <c r="E19" i="13"/>
  <c r="E42" i="13"/>
  <c r="G42" i="13"/>
  <c r="E27" i="13"/>
  <c r="E26" i="13"/>
  <c r="E36" i="13"/>
  <c r="G36" i="13"/>
  <c r="E9" i="13"/>
  <c r="E10" i="13"/>
  <c r="E46" i="13"/>
  <c r="G46" i="13"/>
  <c r="E3" i="13"/>
  <c r="E32" i="13"/>
  <c r="E30" i="13"/>
  <c r="E35" i="13"/>
  <c r="G35" i="13"/>
  <c r="E29" i="13"/>
  <c r="E23" i="13"/>
  <c r="E49" i="13"/>
  <c r="E18" i="13"/>
  <c r="E17" i="13"/>
  <c r="E12" i="13"/>
  <c r="E13" i="13"/>
  <c r="E33" i="13"/>
  <c r="G33" i="13"/>
  <c r="E8" i="13"/>
  <c r="E41" i="13"/>
  <c r="G41" i="13"/>
  <c r="E25" i="13"/>
  <c r="E24" i="13"/>
  <c r="E15" i="13"/>
  <c r="E44" i="13"/>
  <c r="G44" i="13"/>
  <c r="E11" i="13"/>
  <c r="E39" i="13"/>
  <c r="G39" i="13"/>
  <c r="E6" i="13"/>
  <c r="E47" i="13"/>
  <c r="E5" i="13"/>
  <c r="E21" i="13"/>
  <c r="E28" i="13"/>
  <c r="E43" i="13"/>
  <c r="G43" i="13"/>
  <c r="E22" i="13"/>
  <c r="E37" i="13"/>
  <c r="G37" i="13"/>
  <c r="E20" i="13"/>
  <c r="E14" i="13"/>
  <c r="E34" i="13"/>
  <c r="G34" i="13"/>
  <c r="E16" i="13"/>
  <c r="E4" i="13"/>
  <c r="E40" i="13"/>
  <c r="G40" i="13"/>
  <c r="E7" i="13"/>
  <c r="E2" i="13"/>
  <c r="E38" i="13"/>
  <c r="G38" i="13"/>
  <c r="P20" i="13"/>
  <c r="P25" i="13"/>
  <c r="P13" i="13"/>
  <c r="P33" i="13"/>
  <c r="R33" i="13"/>
  <c r="P14" i="13"/>
  <c r="P34" i="13"/>
  <c r="R34" i="13"/>
  <c r="P4" i="13"/>
  <c r="P40" i="13"/>
  <c r="R40" i="13"/>
  <c r="P26" i="13"/>
  <c r="P36" i="13"/>
  <c r="R36" i="13"/>
  <c r="P21" i="13"/>
  <c r="P28" i="13"/>
  <c r="P43" i="13"/>
  <c r="R43" i="13"/>
  <c r="P22" i="13"/>
  <c r="P37" i="13"/>
  <c r="R37" i="13"/>
  <c r="P17" i="13"/>
  <c r="P12" i="13"/>
  <c r="P9" i="13"/>
  <c r="P10" i="13"/>
  <c r="P46" i="13"/>
  <c r="P19" i="13"/>
  <c r="P42" i="13"/>
  <c r="R42" i="13"/>
  <c r="P27" i="13"/>
  <c r="P16" i="13"/>
  <c r="P15" i="13"/>
  <c r="P44" i="13"/>
  <c r="R44" i="13"/>
  <c r="P11" i="13"/>
  <c r="P39" i="13"/>
  <c r="R39" i="13"/>
  <c r="P7" i="13"/>
  <c r="P2" i="13"/>
  <c r="P38" i="13"/>
  <c r="R38" i="13"/>
  <c r="P6" i="13"/>
  <c r="P47" i="13"/>
  <c r="R47" i="13"/>
  <c r="P8" i="13"/>
  <c r="P41" i="13"/>
  <c r="R41" i="13"/>
  <c r="P30" i="13"/>
  <c r="P35" i="13"/>
  <c r="R35" i="13"/>
  <c r="P24" i="13"/>
  <c r="P29" i="13"/>
  <c r="P23" i="13"/>
  <c r="P49" i="13"/>
  <c r="P18" i="13"/>
  <c r="P5" i="13"/>
  <c r="P3" i="13"/>
  <c r="P32" i="13"/>
  <c r="G3" i="7"/>
  <c r="G3" i="11"/>
  <c r="G3" i="9"/>
  <c r="G3" i="13"/>
  <c r="AQ48" i="13"/>
  <c r="E73" i="13"/>
  <c r="G73" i="13"/>
  <c r="E59" i="13"/>
  <c r="G59" i="13"/>
  <c r="E45" i="13"/>
  <c r="G47" i="13"/>
  <c r="E62" i="13"/>
  <c r="G62" i="13"/>
  <c r="E76" i="13"/>
  <c r="G76" i="13"/>
  <c r="P72" i="13"/>
  <c r="R72" i="13"/>
  <c r="P58" i="13"/>
  <c r="R58" i="13"/>
  <c r="P76" i="13"/>
  <c r="R76" i="13"/>
  <c r="P62" i="13"/>
  <c r="R62" i="13"/>
  <c r="P68" i="13"/>
  <c r="R68" i="13"/>
  <c r="P54" i="13"/>
  <c r="R54" i="13"/>
  <c r="P60" i="13"/>
  <c r="R60" i="13"/>
  <c r="P74" i="13"/>
  <c r="R74" i="13"/>
  <c r="P64" i="13"/>
  <c r="P50" i="13"/>
  <c r="R50" i="13"/>
  <c r="E58" i="13"/>
  <c r="G58" i="13"/>
  <c r="E72" i="13"/>
  <c r="G72" i="13"/>
  <c r="E65" i="13"/>
  <c r="G65" i="13"/>
  <c r="E51" i="13"/>
  <c r="G51" i="13"/>
  <c r="E74" i="13"/>
  <c r="G74" i="13"/>
  <c r="E60" i="13"/>
  <c r="G60" i="13"/>
  <c r="AQ63" i="13"/>
  <c r="P31" i="13"/>
  <c r="R32" i="13"/>
  <c r="R31" i="13"/>
  <c r="P55" i="13"/>
  <c r="R55" i="13"/>
  <c r="P69" i="13"/>
  <c r="R69" i="13"/>
  <c r="P45" i="13"/>
  <c r="R46" i="13"/>
  <c r="R45" i="13"/>
  <c r="E67" i="13"/>
  <c r="G67" i="13"/>
  <c r="E53" i="13"/>
  <c r="G53" i="13"/>
  <c r="E50" i="13"/>
  <c r="G50" i="13"/>
  <c r="E64" i="13"/>
  <c r="E54" i="13"/>
  <c r="G54" i="13"/>
  <c r="E68" i="13"/>
  <c r="G68" i="13"/>
  <c r="P67" i="13"/>
  <c r="R67" i="13"/>
  <c r="P53" i="13"/>
  <c r="R53" i="13"/>
  <c r="P75" i="13"/>
  <c r="R75" i="13"/>
  <c r="P61" i="13"/>
  <c r="R61" i="13"/>
  <c r="R49" i="13"/>
  <c r="P71" i="13"/>
  <c r="R71" i="13"/>
  <c r="P57" i="13"/>
  <c r="R57" i="13"/>
  <c r="P59" i="13"/>
  <c r="R59" i="13"/>
  <c r="P73" i="13"/>
  <c r="R73" i="13"/>
  <c r="P52" i="13"/>
  <c r="R52" i="13"/>
  <c r="P66" i="13"/>
  <c r="R66" i="13"/>
  <c r="P51" i="13"/>
  <c r="R51" i="13"/>
  <c r="P65" i="13"/>
  <c r="R65" i="13"/>
  <c r="P56" i="13"/>
  <c r="R56" i="13"/>
  <c r="P70" i="13"/>
  <c r="R70" i="13"/>
  <c r="E70" i="13"/>
  <c r="G70" i="13"/>
  <c r="E56" i="13"/>
  <c r="G56" i="13"/>
  <c r="E69" i="13"/>
  <c r="G69" i="13"/>
  <c r="E55" i="13"/>
  <c r="G55" i="13"/>
  <c r="E66" i="13"/>
  <c r="G66" i="13"/>
  <c r="E52" i="13"/>
  <c r="G52" i="13"/>
  <c r="E75" i="13"/>
  <c r="G75" i="13"/>
  <c r="E61" i="13"/>
  <c r="G61" i="13"/>
  <c r="G49" i="13"/>
  <c r="E71" i="13"/>
  <c r="G71" i="13"/>
  <c r="E57" i="13"/>
  <c r="G57" i="13"/>
  <c r="E31" i="13"/>
  <c r="G32" i="13"/>
  <c r="G31" i="13"/>
  <c r="G45" i="13"/>
  <c r="R24" i="13"/>
  <c r="R6" i="13"/>
  <c r="R10" i="13"/>
  <c r="R26" i="13"/>
  <c r="R14" i="13"/>
  <c r="G22" i="13"/>
  <c r="G28" i="13"/>
  <c r="G5" i="13"/>
  <c r="G11" i="13"/>
  <c r="G25" i="13"/>
  <c r="G13" i="13"/>
  <c r="G9" i="13"/>
  <c r="R5" i="13"/>
  <c r="R18" i="13"/>
  <c r="R23" i="13"/>
  <c r="R29" i="13"/>
  <c r="R30" i="13"/>
  <c r="R2" i="13"/>
  <c r="R7" i="13"/>
  <c r="R15" i="13"/>
  <c r="R17" i="13"/>
  <c r="R21" i="13"/>
  <c r="R20" i="13"/>
  <c r="G4" i="13"/>
  <c r="G20" i="13"/>
  <c r="G24" i="13"/>
  <c r="G17" i="13"/>
  <c r="G18" i="13"/>
  <c r="G23" i="13"/>
  <c r="G29" i="13"/>
  <c r="G10" i="13"/>
  <c r="G19" i="13"/>
  <c r="R3" i="13"/>
  <c r="R19" i="13"/>
  <c r="R22" i="13"/>
  <c r="R28" i="13"/>
  <c r="R4" i="13"/>
  <c r="R13" i="13"/>
  <c r="G2" i="13"/>
  <c r="G7" i="13"/>
  <c r="G14" i="13"/>
  <c r="G6" i="13"/>
  <c r="G15" i="13"/>
  <c r="G8" i="13"/>
  <c r="G27" i="13"/>
  <c r="R8" i="13"/>
  <c r="R11" i="13"/>
  <c r="R16" i="13"/>
  <c r="R27" i="13"/>
  <c r="R9" i="13"/>
  <c r="R12" i="13"/>
  <c r="R25" i="13"/>
  <c r="G16" i="13"/>
  <c r="G21" i="13"/>
  <c r="G12" i="13"/>
  <c r="G30" i="13"/>
  <c r="G26" i="13"/>
  <c r="G62" i="7"/>
  <c r="G48" i="7"/>
  <c r="G48" i="13"/>
  <c r="R48" i="13"/>
  <c r="E48" i="13"/>
  <c r="P48" i="13"/>
  <c r="P63" i="13"/>
  <c r="R64" i="13"/>
  <c r="R63" i="13"/>
  <c r="E63" i="13"/>
  <c r="G64" i="13"/>
  <c r="G63"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Manning, Karessa L.</author>
  </authors>
  <commentList>
    <comment ref="A1" authorId="0" shapeId="0" xr:uid="{00000000-0006-0000-1100-000001000000}">
      <text>
        <r>
          <rPr>
            <b/>
            <sz val="9"/>
            <color indexed="81"/>
            <rFont val="Tahoma"/>
            <family val="2"/>
          </rPr>
          <t>Manning, Karessa L.:</t>
        </r>
        <r>
          <rPr>
            <sz val="9"/>
            <color indexed="81"/>
            <rFont val="Tahoma"/>
            <family val="2"/>
          </rPr>
          <t xml:space="preserve">
Slab Size = 1
Cover Layer = 0</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Manning, Karessa L.</author>
  </authors>
  <commentList>
    <comment ref="A1" authorId="0" shapeId="0" xr:uid="{00000000-0006-0000-0100-000001000000}">
      <text>
        <r>
          <rPr>
            <b/>
            <sz val="9"/>
            <color indexed="81"/>
            <rFont val="Tahoma"/>
            <family val="2"/>
          </rPr>
          <t>Manning, Karessa L.:</t>
        </r>
        <r>
          <rPr>
            <sz val="9"/>
            <color indexed="81"/>
            <rFont val="Tahoma"/>
            <family val="2"/>
          </rPr>
          <t xml:space="preserve">
Slab Size = 20,000 m
Cover Layer = 20 cm
Apply GSFo = Yes
</t>
        </r>
      </text>
    </comment>
  </commentList>
</comments>
</file>

<file path=xl/sharedStrings.xml><?xml version="1.0" encoding="utf-8"?>
<sst xmlns="http://schemas.openxmlformats.org/spreadsheetml/2006/main" count="2471" uniqueCount="410">
  <si>
    <t>SFS</t>
  </si>
  <si>
    <t>SFF</t>
  </si>
  <si>
    <t>SFX</t>
  </si>
  <si>
    <t>SFI</t>
  </si>
  <si>
    <t>SFW</t>
  </si>
  <si>
    <t>SFOSA</t>
  </si>
  <si>
    <t>SFXSUB</t>
  </si>
  <si>
    <t>SFXGP</t>
  </si>
  <si>
    <t>SFXIMM</t>
  </si>
  <si>
    <t>SFXSV1</t>
  </si>
  <si>
    <t>SFXSV5</t>
  </si>
  <si>
    <t>SFXSV15</t>
  </si>
  <si>
    <t>Ac-225</t>
  </si>
  <si>
    <t>Am-241</t>
  </si>
  <si>
    <t>At-217</t>
  </si>
  <si>
    <t>At-218</t>
  </si>
  <si>
    <t>Ba-137m</t>
  </si>
  <si>
    <t>Bi-210</t>
  </si>
  <si>
    <t>Bi-213</t>
  </si>
  <si>
    <t>Bi-214</t>
  </si>
  <si>
    <t>Cs-137</t>
  </si>
  <si>
    <t>Fr-221</t>
  </si>
  <si>
    <t>Hg-206</t>
  </si>
  <si>
    <t>Np-237</t>
  </si>
  <si>
    <t>Pa-233</t>
  </si>
  <si>
    <t>Pb-209</t>
  </si>
  <si>
    <t>Pb-210</t>
  </si>
  <si>
    <t>Pb-214</t>
  </si>
  <si>
    <t>Po-210</t>
  </si>
  <si>
    <t>Po-213</t>
  </si>
  <si>
    <t>Po-214</t>
  </si>
  <si>
    <t>Po-218</t>
  </si>
  <si>
    <t>Ra-225</t>
  </si>
  <si>
    <t>Ra-226</t>
  </si>
  <si>
    <t>Rn-218</t>
  </si>
  <si>
    <t>Rn-222</t>
  </si>
  <si>
    <t>Th-229</t>
  </si>
  <si>
    <t>Tl-206</t>
  </si>
  <si>
    <t>Tl-209</t>
  </si>
  <si>
    <t>Tl-210</t>
  </si>
  <si>
    <t>U-233</t>
  </si>
  <si>
    <t>ACFGP</t>
  </si>
  <si>
    <t>ACFSV</t>
  </si>
  <si>
    <t>ACFSV1</t>
  </si>
  <si>
    <t>ACFSV5</t>
  </si>
  <si>
    <t>ACFSV15</t>
  </si>
  <si>
    <t>GSFGP</t>
  </si>
  <si>
    <t>GSFSV</t>
  </si>
  <si>
    <t>GSFSV1</t>
  </si>
  <si>
    <t>GSFSV5</t>
  </si>
  <si>
    <t>GSFSV15</t>
  </si>
  <si>
    <t>Radionuclide</t>
  </si>
  <si>
    <t>General</t>
  </si>
  <si>
    <t>years</t>
  </si>
  <si>
    <t>mg/day</t>
  </si>
  <si>
    <t>days/year</t>
  </si>
  <si>
    <t>hours/day</t>
  </si>
  <si>
    <r>
      <t xml:space="preserve">GSF </t>
    </r>
    <r>
      <rPr>
        <vertAlign val="subscript"/>
        <sz val="11"/>
        <color theme="1"/>
        <rFont val="Calibri"/>
        <family val="2"/>
        <scheme val="minor"/>
      </rPr>
      <t>a</t>
    </r>
  </si>
  <si>
    <r>
      <t xml:space="preserve">GSF </t>
    </r>
    <r>
      <rPr>
        <vertAlign val="subscript"/>
        <sz val="11"/>
        <color theme="1"/>
        <rFont val="Calibri"/>
        <family val="2"/>
        <scheme val="minor"/>
      </rPr>
      <t>i</t>
    </r>
  </si>
  <si>
    <t>m^3/day</t>
  </si>
  <si>
    <t>unitless</t>
  </si>
  <si>
    <t>K</t>
  </si>
  <si>
    <t>EF w</t>
  </si>
  <si>
    <t>ET w-o</t>
  </si>
  <si>
    <t>ET w-i</t>
  </si>
  <si>
    <t>IRS w</t>
  </si>
  <si>
    <t>IRA iw</t>
  </si>
  <si>
    <t>EF iw</t>
  </si>
  <si>
    <t>ET iw-o</t>
  </si>
  <si>
    <t>ET iw-i</t>
  </si>
  <si>
    <t>IRA ow</t>
  </si>
  <si>
    <t>EF ow</t>
  </si>
  <si>
    <t>ET ow-o</t>
  </si>
  <si>
    <t>ET ow-i</t>
  </si>
  <si>
    <t>IRA cw</t>
  </si>
  <si>
    <t>EF cw</t>
  </si>
  <si>
    <t>ET cw-o</t>
  </si>
  <si>
    <t>ET cw-i</t>
  </si>
  <si>
    <t>DW cw</t>
  </si>
  <si>
    <t>days/week</t>
  </si>
  <si>
    <t>EW cw</t>
  </si>
  <si>
    <t>weeks/year</t>
  </si>
  <si>
    <t>m</t>
  </si>
  <si>
    <t>IRS iw</t>
  </si>
  <si>
    <t>IRS ow</t>
  </si>
  <si>
    <t>IRS cw</t>
  </si>
  <si>
    <t>KD</t>
  </si>
  <si>
    <r>
      <t xml:space="preserve">t </t>
    </r>
    <r>
      <rPr>
        <vertAlign val="subscript"/>
        <sz val="11"/>
        <color theme="1"/>
        <rFont val="Calibri"/>
        <family val="2"/>
        <scheme val="minor"/>
      </rPr>
      <t>com</t>
    </r>
  </si>
  <si>
    <r>
      <t xml:space="preserve">t </t>
    </r>
    <r>
      <rPr>
        <vertAlign val="subscript"/>
        <sz val="11"/>
        <color theme="1"/>
        <rFont val="Calibri"/>
        <family val="2"/>
        <scheme val="minor"/>
      </rPr>
      <t>out</t>
    </r>
  </si>
  <si>
    <r>
      <t xml:space="preserve">t </t>
    </r>
    <r>
      <rPr>
        <vertAlign val="subscript"/>
        <sz val="11"/>
        <color theme="1"/>
        <rFont val="Calibri"/>
        <family val="2"/>
        <scheme val="minor"/>
      </rPr>
      <t>ind</t>
    </r>
  </si>
  <si>
    <r>
      <t xml:space="preserve">t </t>
    </r>
    <r>
      <rPr>
        <vertAlign val="subscript"/>
        <sz val="11"/>
        <color theme="1"/>
        <rFont val="Calibri"/>
        <family val="2"/>
        <scheme val="minor"/>
      </rPr>
      <t>con</t>
    </r>
  </si>
  <si>
    <r>
      <t xml:space="preserve">ED </t>
    </r>
    <r>
      <rPr>
        <vertAlign val="subscript"/>
        <sz val="11"/>
        <color theme="1"/>
        <rFont val="Calibri"/>
        <family val="2"/>
        <scheme val="minor"/>
      </rPr>
      <t>com</t>
    </r>
  </si>
  <si>
    <r>
      <t xml:space="preserve">ED </t>
    </r>
    <r>
      <rPr>
        <vertAlign val="subscript"/>
        <sz val="11"/>
        <color theme="1"/>
        <rFont val="Calibri"/>
        <family val="2"/>
        <scheme val="minor"/>
      </rPr>
      <t>out</t>
    </r>
  </si>
  <si>
    <r>
      <t xml:space="preserve">ED </t>
    </r>
    <r>
      <rPr>
        <vertAlign val="subscript"/>
        <sz val="11"/>
        <color theme="1"/>
        <rFont val="Calibri"/>
        <family val="2"/>
        <scheme val="minor"/>
      </rPr>
      <t>ind</t>
    </r>
  </si>
  <si>
    <r>
      <t xml:space="preserve">ED </t>
    </r>
    <r>
      <rPr>
        <vertAlign val="subscript"/>
        <sz val="11"/>
        <color theme="1"/>
        <rFont val="Calibri"/>
        <family val="2"/>
        <scheme val="minor"/>
      </rPr>
      <t>con</t>
    </r>
  </si>
  <si>
    <t>m³ air / kg soil</t>
  </si>
  <si>
    <t>Um</t>
  </si>
  <si>
    <t>m/s</t>
  </si>
  <si>
    <t>Ut</t>
  </si>
  <si>
    <t>F(x)</t>
  </si>
  <si>
    <t>V</t>
  </si>
  <si>
    <t>As</t>
  </si>
  <si>
    <t>acres</t>
  </si>
  <si>
    <t>seconds</t>
  </si>
  <si>
    <t>A R</t>
  </si>
  <si>
    <t>m²</t>
  </si>
  <si>
    <t>W</t>
  </si>
  <si>
    <t>tons</t>
  </si>
  <si>
    <t>Σ VKT</t>
  </si>
  <si>
    <t>km</t>
  </si>
  <si>
    <t>F D</t>
  </si>
  <si>
    <t>t c</t>
  </si>
  <si>
    <t>hour</t>
  </si>
  <si>
    <t>L R</t>
  </si>
  <si>
    <t>ft</t>
  </si>
  <si>
    <t>distance</t>
  </si>
  <si>
    <t>km/day</t>
  </si>
  <si>
    <t>W R</t>
  </si>
  <si>
    <t>N cars</t>
  </si>
  <si>
    <t>N trucks</t>
  </si>
  <si>
    <t>M dry</t>
  </si>
  <si>
    <t>percent</t>
  </si>
  <si>
    <t>s</t>
  </si>
  <si>
    <t>m² / ft²</t>
  </si>
  <si>
    <t>tons/car</t>
  </si>
  <si>
    <t>tons/truck</t>
  </si>
  <si>
    <t>J' T</t>
  </si>
  <si>
    <t>M pc wind</t>
  </si>
  <si>
    <t>g</t>
  </si>
  <si>
    <t>M excav</t>
  </si>
  <si>
    <t>M doz</t>
  </si>
  <si>
    <t>M grade</t>
  </si>
  <si>
    <t>M till</t>
  </si>
  <si>
    <t>A surf</t>
  </si>
  <si>
    <t>Σ VKT doz</t>
  </si>
  <si>
    <t>Σ VKT grade</t>
  </si>
  <si>
    <t>ρ soil</t>
  </si>
  <si>
    <t>mg/m³</t>
  </si>
  <si>
    <t>A excav</t>
  </si>
  <si>
    <t>d excav</t>
  </si>
  <si>
    <t>N A-dump</t>
  </si>
  <si>
    <t>M m-excav</t>
  </si>
  <si>
    <t>s doz</t>
  </si>
  <si>
    <t>M m-doz</t>
  </si>
  <si>
    <t>km/hour</t>
  </si>
  <si>
    <t>S grade</t>
  </si>
  <si>
    <t>s till</t>
  </si>
  <si>
    <t>A till</t>
  </si>
  <si>
    <t>N A-till</t>
  </si>
  <si>
    <t>Ac-grade</t>
  </si>
  <si>
    <t>Ac-doz</t>
  </si>
  <si>
    <t>N A-doz</t>
  </si>
  <si>
    <t>Ac</t>
  </si>
  <si>
    <r>
      <t>PEF</t>
    </r>
    <r>
      <rPr>
        <sz val="12"/>
        <color theme="1"/>
        <rFont val="Calibri"/>
        <family val="2"/>
        <scheme val="minor"/>
      </rPr>
      <t xml:space="preserve"> </t>
    </r>
    <r>
      <rPr>
        <vertAlign val="subscript"/>
        <sz val="12"/>
        <color theme="1"/>
        <rFont val="Calibri"/>
        <family val="2"/>
        <scheme val="minor"/>
      </rPr>
      <t>wind</t>
    </r>
  </si>
  <si>
    <r>
      <t>PEF</t>
    </r>
    <r>
      <rPr>
        <vertAlign val="subscript"/>
        <sz val="11"/>
        <color theme="1"/>
        <rFont val="Calibri"/>
        <family val="2"/>
        <scheme val="minor"/>
      </rPr>
      <t>sc</t>
    </r>
  </si>
  <si>
    <r>
      <t xml:space="preserve">p </t>
    </r>
    <r>
      <rPr>
        <vertAlign val="subscript"/>
        <sz val="11"/>
        <color theme="1"/>
        <rFont val="Calibri"/>
        <family val="2"/>
        <scheme val="minor"/>
      </rPr>
      <t>days</t>
    </r>
  </si>
  <si>
    <r>
      <t xml:space="preserve">Q/C </t>
    </r>
    <r>
      <rPr>
        <vertAlign val="subscript"/>
        <sz val="11"/>
        <color theme="1"/>
        <rFont val="Calibri"/>
        <family val="2"/>
        <scheme val="minor"/>
      </rPr>
      <t>wind</t>
    </r>
  </si>
  <si>
    <r>
      <t xml:space="preserve">A </t>
    </r>
    <r>
      <rPr>
        <vertAlign val="subscript"/>
        <sz val="11"/>
        <color theme="1"/>
        <rFont val="Calibri"/>
        <family val="2"/>
        <scheme val="minor"/>
      </rPr>
      <t>wind</t>
    </r>
  </si>
  <si>
    <r>
      <t xml:space="preserve">B </t>
    </r>
    <r>
      <rPr>
        <vertAlign val="subscript"/>
        <sz val="11"/>
        <color theme="1"/>
        <rFont val="Calibri"/>
        <family val="2"/>
        <scheme val="minor"/>
      </rPr>
      <t>wind</t>
    </r>
  </si>
  <si>
    <r>
      <t xml:space="preserve">C </t>
    </r>
    <r>
      <rPr>
        <vertAlign val="subscript"/>
        <sz val="11"/>
        <color theme="1"/>
        <rFont val="Calibri"/>
        <family val="2"/>
        <scheme val="minor"/>
      </rPr>
      <t>wind</t>
    </r>
  </si>
  <si>
    <r>
      <t xml:space="preserve">Q/C </t>
    </r>
    <r>
      <rPr>
        <vertAlign val="subscript"/>
        <sz val="11"/>
        <color theme="1"/>
        <rFont val="Calibri"/>
        <family val="2"/>
        <scheme val="minor"/>
      </rPr>
      <t>sc</t>
    </r>
  </si>
  <si>
    <r>
      <t xml:space="preserve">A </t>
    </r>
    <r>
      <rPr>
        <vertAlign val="subscript"/>
        <sz val="11"/>
        <color theme="1"/>
        <rFont val="Calibri"/>
        <family val="2"/>
        <scheme val="minor"/>
      </rPr>
      <t>sc</t>
    </r>
  </si>
  <si>
    <r>
      <t xml:space="preserve">B </t>
    </r>
    <r>
      <rPr>
        <vertAlign val="subscript"/>
        <sz val="11"/>
        <color theme="1"/>
        <rFont val="Calibri"/>
        <family val="2"/>
        <scheme val="minor"/>
      </rPr>
      <t>sc</t>
    </r>
  </si>
  <si>
    <r>
      <t xml:space="preserve">C </t>
    </r>
    <r>
      <rPr>
        <vertAlign val="subscript"/>
        <sz val="11"/>
        <color theme="1"/>
        <rFont val="Calibri"/>
        <family val="2"/>
        <scheme val="minor"/>
      </rPr>
      <t>sc</t>
    </r>
  </si>
  <si>
    <r>
      <t xml:space="preserve">PEF </t>
    </r>
    <r>
      <rPr>
        <vertAlign val="subscript"/>
        <sz val="11"/>
        <color theme="1"/>
        <rFont val="Calibri"/>
        <family val="2"/>
        <scheme val="minor"/>
      </rPr>
      <t>'sc</t>
    </r>
  </si>
  <si>
    <r>
      <t xml:space="preserve">Q/C </t>
    </r>
    <r>
      <rPr>
        <vertAlign val="subscript"/>
        <sz val="11"/>
        <color theme="1"/>
        <rFont val="Calibri"/>
        <family val="2"/>
        <scheme val="minor"/>
      </rPr>
      <t>'sc</t>
    </r>
  </si>
  <si>
    <r>
      <t xml:space="preserve">A </t>
    </r>
    <r>
      <rPr>
        <vertAlign val="subscript"/>
        <sz val="11"/>
        <color theme="1"/>
        <rFont val="Calibri"/>
        <family val="2"/>
        <scheme val="minor"/>
      </rPr>
      <t>'sc</t>
    </r>
  </si>
  <si>
    <r>
      <t xml:space="preserve">B </t>
    </r>
    <r>
      <rPr>
        <vertAlign val="subscript"/>
        <sz val="11"/>
        <color theme="1"/>
        <rFont val="Calibri"/>
        <family val="2"/>
        <scheme val="minor"/>
      </rPr>
      <t>'sc</t>
    </r>
  </si>
  <si>
    <r>
      <t xml:space="preserve">C </t>
    </r>
    <r>
      <rPr>
        <vertAlign val="subscript"/>
        <sz val="11"/>
        <color theme="1"/>
        <rFont val="Calibri"/>
        <family val="2"/>
        <scheme val="minor"/>
      </rPr>
      <t>'sc</t>
    </r>
  </si>
  <si>
    <r>
      <t xml:space="preserve">T </t>
    </r>
    <r>
      <rPr>
        <vertAlign val="subscript"/>
        <sz val="11"/>
        <color theme="1"/>
        <rFont val="Calibri"/>
        <family val="2"/>
        <scheme val="minor"/>
      </rPr>
      <t>t</t>
    </r>
  </si>
  <si>
    <t>S doz-speed</t>
  </si>
  <si>
    <t>s_K</t>
  </si>
  <si>
    <r>
      <t xml:space="preserve">s_GSF </t>
    </r>
    <r>
      <rPr>
        <vertAlign val="subscript"/>
        <sz val="11"/>
        <color theme="1"/>
        <rFont val="Calibri"/>
        <family val="2"/>
        <scheme val="minor"/>
      </rPr>
      <t>a</t>
    </r>
  </si>
  <si>
    <r>
      <t xml:space="preserve">s_GSF </t>
    </r>
    <r>
      <rPr>
        <vertAlign val="subscript"/>
        <sz val="11"/>
        <color theme="1"/>
        <rFont val="Calibri"/>
        <family val="2"/>
        <scheme val="minor"/>
      </rPr>
      <t>i</t>
    </r>
  </si>
  <si>
    <r>
      <t>s_PEF</t>
    </r>
    <r>
      <rPr>
        <sz val="12"/>
        <color theme="1"/>
        <rFont val="Calibri"/>
        <family val="2"/>
        <scheme val="minor"/>
      </rPr>
      <t xml:space="preserve"> </t>
    </r>
    <r>
      <rPr>
        <vertAlign val="subscript"/>
        <sz val="12"/>
        <color theme="1"/>
        <rFont val="Calibri"/>
        <family val="2"/>
        <scheme val="minor"/>
      </rPr>
      <t>wind</t>
    </r>
  </si>
  <si>
    <t>s_Um</t>
  </si>
  <si>
    <t>s_Ut</t>
  </si>
  <si>
    <t>s_F(x)</t>
  </si>
  <si>
    <t>s_V</t>
  </si>
  <si>
    <r>
      <t xml:space="preserve">s_Q/C </t>
    </r>
    <r>
      <rPr>
        <vertAlign val="subscript"/>
        <sz val="11"/>
        <color theme="1"/>
        <rFont val="Calibri"/>
        <family val="2"/>
        <scheme val="minor"/>
      </rPr>
      <t>wind</t>
    </r>
  </si>
  <si>
    <t>s_As</t>
  </si>
  <si>
    <r>
      <t xml:space="preserve">s_A </t>
    </r>
    <r>
      <rPr>
        <vertAlign val="subscript"/>
        <sz val="11"/>
        <color theme="1"/>
        <rFont val="Calibri"/>
        <family val="2"/>
        <scheme val="minor"/>
      </rPr>
      <t>wind</t>
    </r>
  </si>
  <si>
    <r>
      <t xml:space="preserve">s_B </t>
    </r>
    <r>
      <rPr>
        <vertAlign val="subscript"/>
        <sz val="11"/>
        <color theme="1"/>
        <rFont val="Calibri"/>
        <family val="2"/>
        <scheme val="minor"/>
      </rPr>
      <t>wind</t>
    </r>
  </si>
  <si>
    <r>
      <t xml:space="preserve">s_C </t>
    </r>
    <r>
      <rPr>
        <vertAlign val="subscript"/>
        <sz val="11"/>
        <color theme="1"/>
        <rFont val="Calibri"/>
        <family val="2"/>
        <scheme val="minor"/>
      </rPr>
      <t>wind</t>
    </r>
  </si>
  <si>
    <r>
      <t>s_PEF</t>
    </r>
    <r>
      <rPr>
        <vertAlign val="subscript"/>
        <sz val="11"/>
        <color theme="1"/>
        <rFont val="Calibri"/>
        <family val="2"/>
        <scheme val="minor"/>
      </rPr>
      <t>sc</t>
    </r>
  </si>
  <si>
    <r>
      <t xml:space="preserve">s_Q/C </t>
    </r>
    <r>
      <rPr>
        <vertAlign val="subscript"/>
        <sz val="11"/>
        <color theme="1"/>
        <rFont val="Calibri"/>
        <family val="2"/>
        <scheme val="minor"/>
      </rPr>
      <t>sc</t>
    </r>
  </si>
  <si>
    <r>
      <t xml:space="preserve">s_T </t>
    </r>
    <r>
      <rPr>
        <vertAlign val="subscript"/>
        <sz val="11"/>
        <color theme="1"/>
        <rFont val="Calibri"/>
        <family val="2"/>
        <scheme val="minor"/>
      </rPr>
      <t>t</t>
    </r>
  </si>
  <si>
    <t>s_A R</t>
  </si>
  <si>
    <t>s_W</t>
  </si>
  <si>
    <t>s_Σ VKT</t>
  </si>
  <si>
    <t>s_F D</t>
  </si>
  <si>
    <t>s_t c</t>
  </si>
  <si>
    <t>s_L R</t>
  </si>
  <si>
    <t>s_distance</t>
  </si>
  <si>
    <t>s_EF cw</t>
  </si>
  <si>
    <t>s_W R</t>
  </si>
  <si>
    <t>s_N cars</t>
  </si>
  <si>
    <t>s_N trucks</t>
  </si>
  <si>
    <t>s_Ac</t>
  </si>
  <si>
    <t>s_EW cw</t>
  </si>
  <si>
    <t>s_DW cw</t>
  </si>
  <si>
    <t>s_M dry</t>
  </si>
  <si>
    <r>
      <t xml:space="preserve">s_p </t>
    </r>
    <r>
      <rPr>
        <vertAlign val="subscript"/>
        <sz val="11"/>
        <color theme="1"/>
        <rFont val="Calibri"/>
        <family val="2"/>
        <scheme val="minor"/>
      </rPr>
      <t>days</t>
    </r>
  </si>
  <si>
    <t>s_s</t>
  </si>
  <si>
    <r>
      <t xml:space="preserve">s_A </t>
    </r>
    <r>
      <rPr>
        <vertAlign val="subscript"/>
        <sz val="11"/>
        <color theme="1"/>
        <rFont val="Calibri"/>
        <family val="2"/>
        <scheme val="minor"/>
      </rPr>
      <t>sc</t>
    </r>
  </si>
  <si>
    <r>
      <t xml:space="preserve">s_B </t>
    </r>
    <r>
      <rPr>
        <vertAlign val="subscript"/>
        <sz val="11"/>
        <color theme="1"/>
        <rFont val="Calibri"/>
        <family val="2"/>
        <scheme val="minor"/>
      </rPr>
      <t>sc</t>
    </r>
  </si>
  <si>
    <r>
      <t xml:space="preserve">s_C </t>
    </r>
    <r>
      <rPr>
        <vertAlign val="subscript"/>
        <sz val="11"/>
        <color theme="1"/>
        <rFont val="Calibri"/>
        <family val="2"/>
        <scheme val="minor"/>
      </rPr>
      <t>sc</t>
    </r>
  </si>
  <si>
    <r>
      <t xml:space="preserve">s_PEF </t>
    </r>
    <r>
      <rPr>
        <vertAlign val="subscript"/>
        <sz val="11"/>
        <color theme="1"/>
        <rFont val="Calibri"/>
        <family val="2"/>
        <scheme val="minor"/>
      </rPr>
      <t>'sc</t>
    </r>
  </si>
  <si>
    <r>
      <t xml:space="preserve">s_Q/C </t>
    </r>
    <r>
      <rPr>
        <vertAlign val="subscript"/>
        <sz val="11"/>
        <color theme="1"/>
        <rFont val="Calibri"/>
        <family val="2"/>
        <scheme val="minor"/>
      </rPr>
      <t>'sc</t>
    </r>
  </si>
  <si>
    <t>s_J' T</t>
  </si>
  <si>
    <t>s_M pc wind</t>
  </si>
  <si>
    <t>s_M excav</t>
  </si>
  <si>
    <t>s_M doz</t>
  </si>
  <si>
    <t>s_M grade</t>
  </si>
  <si>
    <t>s_M till</t>
  </si>
  <si>
    <t>s_A surf</t>
  </si>
  <si>
    <t>s_Σ VKT doz</t>
  </si>
  <si>
    <t>s_Σ VKT grade</t>
  </si>
  <si>
    <t>s_ρ soil</t>
  </si>
  <si>
    <t>s_A excav</t>
  </si>
  <si>
    <t>s_d excav</t>
  </si>
  <si>
    <t>s_N A-dump</t>
  </si>
  <si>
    <t>s_M m-excav</t>
  </si>
  <si>
    <t>s_s doz</t>
  </si>
  <si>
    <t>s_M m-doz</t>
  </si>
  <si>
    <t>s_S doz-speed</t>
  </si>
  <si>
    <t>s_S grade</t>
  </si>
  <si>
    <t>s_s till</t>
  </si>
  <si>
    <t>s_A till</t>
  </si>
  <si>
    <t>s_N A-till</t>
  </si>
  <si>
    <t>s_Ac-grade</t>
  </si>
  <si>
    <t>s_Ac-doz</t>
  </si>
  <si>
    <t>s_N A-doz</t>
  </si>
  <si>
    <r>
      <t xml:space="preserve">s_A </t>
    </r>
    <r>
      <rPr>
        <vertAlign val="subscript"/>
        <sz val="11"/>
        <color theme="1"/>
        <rFont val="Calibri"/>
        <family val="2"/>
        <scheme val="minor"/>
      </rPr>
      <t>'sc</t>
    </r>
  </si>
  <si>
    <r>
      <t xml:space="preserve">s_B </t>
    </r>
    <r>
      <rPr>
        <vertAlign val="subscript"/>
        <sz val="11"/>
        <color theme="1"/>
        <rFont val="Calibri"/>
        <family val="2"/>
        <scheme val="minor"/>
      </rPr>
      <t>'sc</t>
    </r>
  </si>
  <si>
    <r>
      <t xml:space="preserve">s_C </t>
    </r>
    <r>
      <rPr>
        <vertAlign val="subscript"/>
        <sz val="11"/>
        <color theme="1"/>
        <rFont val="Calibri"/>
        <family val="2"/>
        <scheme val="minor"/>
      </rPr>
      <t>'sc</t>
    </r>
  </si>
  <si>
    <t>s_EF w</t>
  </si>
  <si>
    <t>s_EF iw</t>
  </si>
  <si>
    <t>s_EF ow</t>
  </si>
  <si>
    <t>s_ET w-o</t>
  </si>
  <si>
    <t>s_ET w-i</t>
  </si>
  <si>
    <t>s_ET iw-o</t>
  </si>
  <si>
    <t>s_ET iw-i</t>
  </si>
  <si>
    <t>s_ET ow-o</t>
  </si>
  <si>
    <t>s_ET ow-i</t>
  </si>
  <si>
    <t>s_ET cw-o</t>
  </si>
  <si>
    <t>s_ET cw-i</t>
  </si>
  <si>
    <t>s_IRA iw</t>
  </si>
  <si>
    <t>s_IRA ow</t>
  </si>
  <si>
    <t>s_IRA cw</t>
  </si>
  <si>
    <t>s_IRS w</t>
  </si>
  <si>
    <t>s_IRS iw</t>
  </si>
  <si>
    <t>s_IRS ow</t>
  </si>
  <si>
    <t>s_IRS cw</t>
  </si>
  <si>
    <r>
      <t xml:space="preserve">s_ED </t>
    </r>
    <r>
      <rPr>
        <vertAlign val="subscript"/>
        <sz val="11"/>
        <color theme="1"/>
        <rFont val="Calibri"/>
        <family val="2"/>
        <scheme val="minor"/>
      </rPr>
      <t>com</t>
    </r>
  </si>
  <si>
    <r>
      <t xml:space="preserve">s_ED </t>
    </r>
    <r>
      <rPr>
        <vertAlign val="subscript"/>
        <sz val="11"/>
        <color theme="1"/>
        <rFont val="Calibri"/>
        <family val="2"/>
        <scheme val="minor"/>
      </rPr>
      <t>out</t>
    </r>
  </si>
  <si>
    <r>
      <t xml:space="preserve">s_ED </t>
    </r>
    <r>
      <rPr>
        <vertAlign val="subscript"/>
        <sz val="11"/>
        <color theme="1"/>
        <rFont val="Calibri"/>
        <family val="2"/>
        <scheme val="minor"/>
      </rPr>
      <t>ind</t>
    </r>
  </si>
  <si>
    <r>
      <t xml:space="preserve">s_ED </t>
    </r>
    <r>
      <rPr>
        <vertAlign val="subscript"/>
        <sz val="11"/>
        <color theme="1"/>
        <rFont val="Calibri"/>
        <family val="2"/>
        <scheme val="minor"/>
      </rPr>
      <t>con</t>
    </r>
  </si>
  <si>
    <r>
      <t xml:space="preserve">s_t </t>
    </r>
    <r>
      <rPr>
        <vertAlign val="subscript"/>
        <sz val="11"/>
        <color theme="1"/>
        <rFont val="Calibri"/>
        <family val="2"/>
        <scheme val="minor"/>
      </rPr>
      <t>com</t>
    </r>
  </si>
  <si>
    <r>
      <t xml:space="preserve">s_t </t>
    </r>
    <r>
      <rPr>
        <vertAlign val="subscript"/>
        <sz val="11"/>
        <color theme="1"/>
        <rFont val="Calibri"/>
        <family val="2"/>
        <scheme val="minor"/>
      </rPr>
      <t>out</t>
    </r>
  </si>
  <si>
    <r>
      <t xml:space="preserve">s_t </t>
    </r>
    <r>
      <rPr>
        <vertAlign val="subscript"/>
        <sz val="11"/>
        <color theme="1"/>
        <rFont val="Calibri"/>
        <family val="2"/>
        <scheme val="minor"/>
      </rPr>
      <t>ind</t>
    </r>
  </si>
  <si>
    <r>
      <t xml:space="preserve">s_t </t>
    </r>
    <r>
      <rPr>
        <vertAlign val="subscript"/>
        <sz val="11"/>
        <color theme="1"/>
        <rFont val="Calibri"/>
        <family val="2"/>
        <scheme val="minor"/>
      </rPr>
      <t>con</t>
    </r>
  </si>
  <si>
    <t>N A-grade</t>
  </si>
  <si>
    <t>B grade</t>
  </si>
  <si>
    <t>B doz</t>
  </si>
  <si>
    <t>s_N A-grade</t>
  </si>
  <si>
    <t>s_B doz</t>
  </si>
  <si>
    <t>s_B grade</t>
  </si>
  <si>
    <t>TR</t>
  </si>
  <si>
    <t>YHALFLIFE</t>
  </si>
  <si>
    <t>WEIGHT</t>
  </si>
  <si>
    <t>GIABSFCT</t>
  </si>
  <si>
    <t>LAMBDA</t>
  </si>
  <si>
    <t>s_TR</t>
  </si>
  <si>
    <t>Test Rad</t>
  </si>
  <si>
    <t>Y</t>
  </si>
  <si>
    <t>MCL</t>
  </si>
  <si>
    <t>MASS</t>
  </si>
  <si>
    <t>Volatile</t>
  </si>
  <si>
    <t>GSFiGP</t>
  </si>
  <si>
    <t>GSFiSV</t>
  </si>
  <si>
    <t>GSFiSV1</t>
  </si>
  <si>
    <t>GSFiSV5</t>
  </si>
  <si>
    <t>GSFiSV15</t>
  </si>
  <si>
    <t>IRA w</t>
  </si>
  <si>
    <t>s_IRA w</t>
  </si>
  <si>
    <t>C</t>
  </si>
  <si>
    <t>s_C</t>
  </si>
  <si>
    <t>*These are for running contruction worker and recreator defaults only.</t>
  </si>
  <si>
    <t>SE</t>
  </si>
  <si>
    <t>~Am-241</t>
  </si>
  <si>
    <t>~Np-237</t>
  </si>
  <si>
    <t>~Pa-233</t>
  </si>
  <si>
    <t>~U-233</t>
  </si>
  <si>
    <t>~Th-229</t>
  </si>
  <si>
    <t>~Ra-225</t>
  </si>
  <si>
    <t>~Ac-225</t>
  </si>
  <si>
    <t>~Fr-221</t>
  </si>
  <si>
    <t>~At-217</t>
  </si>
  <si>
    <t>~Bi-213</t>
  </si>
  <si>
    <t>~Po-213</t>
  </si>
  <si>
    <t>~Tl-209</t>
  </si>
  <si>
    <t>~Pb-209</t>
  </si>
  <si>
    <t>~Cs-137</t>
  </si>
  <si>
    <t>~Ba-137m</t>
  </si>
  <si>
    <t>~Ra-226</t>
  </si>
  <si>
    <t>~Rn-222</t>
  </si>
  <si>
    <t>~Po-218</t>
  </si>
  <si>
    <t>~Pb-214</t>
  </si>
  <si>
    <t>~At-218</t>
  </si>
  <si>
    <t>~Bi-214</t>
  </si>
  <si>
    <t>~Rn-218</t>
  </si>
  <si>
    <t>~Po-214</t>
  </si>
  <si>
    <t>~Tl-210</t>
  </si>
  <si>
    <t>~Pb-210</t>
  </si>
  <si>
    <t>~Bi-210</t>
  </si>
  <si>
    <t>~Hg-206</t>
  </si>
  <si>
    <t>~Po-210</t>
  </si>
  <si>
    <t>~Tl-206</t>
  </si>
  <si>
    <t>Indoor Worker</t>
  </si>
  <si>
    <t>Outdoor Worker</t>
  </si>
  <si>
    <t>Composite Worker</t>
  </si>
  <si>
    <t>Construction Worker</t>
  </si>
  <si>
    <t>PEF wind</t>
  </si>
  <si>
    <t>PEFsc</t>
  </si>
  <si>
    <t>PEF'sc</t>
  </si>
  <si>
    <t>target risk</t>
  </si>
  <si>
    <t>concentration</t>
  </si>
  <si>
    <t>g/m^2-s per kg/m^3</t>
  </si>
  <si>
    <t>L/m^3</t>
  </si>
  <si>
    <r>
      <t>g/m</t>
    </r>
    <r>
      <rPr>
        <vertAlign val="superscript"/>
        <sz val="11"/>
        <color theme="1"/>
        <rFont val="Calibri"/>
        <family val="2"/>
        <scheme val="minor"/>
      </rPr>
      <t>2</t>
    </r>
    <r>
      <rPr>
        <sz val="11"/>
        <color theme="1"/>
        <rFont val="Calibri"/>
        <family val="2"/>
        <scheme val="minor"/>
      </rPr>
      <t>-s</t>
    </r>
  </si>
  <si>
    <t>fraction</t>
  </si>
  <si>
    <t>hours/day out</t>
  </si>
  <si>
    <t>hours/day in</t>
  </si>
  <si>
    <t>conversion factor</t>
  </si>
  <si>
    <t># cars</t>
  </si>
  <si>
    <t># trucks</t>
  </si>
  <si>
    <t># of times soil is dumped</t>
  </si>
  <si>
    <t># of times site is tilled</t>
  </si>
  <si>
    <t># of times site is dozed</t>
  </si>
  <si>
    <t># of times site is graded</t>
  </si>
  <si>
    <t>prg_soil_ing</t>
  </si>
  <si>
    <t>prg_soil_inh</t>
  </si>
  <si>
    <t>prg_soil_ext</t>
  </si>
  <si>
    <t>prg_soil_tot</t>
  </si>
  <si>
    <t>prg_soil_sv</t>
  </si>
  <si>
    <t>prg_soil_1cm</t>
  </si>
  <si>
    <t>prg_soil_5cm</t>
  </si>
  <si>
    <t>prg_soil_15cm</t>
  </si>
  <si>
    <t>prg_soil_gp</t>
  </si>
  <si>
    <t>prg_air_inh</t>
  </si>
  <si>
    <t>prg_air_sub</t>
  </si>
  <si>
    <t>prg_air_tot</t>
  </si>
  <si>
    <t>cdi_soil_ing</t>
  </si>
  <si>
    <t>cdi_soil_inh</t>
  </si>
  <si>
    <t>cdi_soil_ext</t>
  </si>
  <si>
    <t>risk_soil_ing</t>
  </si>
  <si>
    <t>risk_soil_inh</t>
  </si>
  <si>
    <t>risk_soil_ext</t>
  </si>
  <si>
    <t>risk_soil_tot</t>
  </si>
  <si>
    <t>prg_ost_soil_ing</t>
  </si>
  <si>
    <t>prg_ost_soil_inh</t>
  </si>
  <si>
    <t>prg_ost_soil_ext</t>
  </si>
  <si>
    <t>prg_ost_soil_tot</t>
  </si>
  <si>
    <t>cdi_ost_soil_ing</t>
  </si>
  <si>
    <t>cdi_ost_soil_inh</t>
  </si>
  <si>
    <t>cdi_ost_soil_ext</t>
  </si>
  <si>
    <t>risk_ost_soil_ing</t>
  </si>
  <si>
    <t>risk_ost_soil_inh</t>
  </si>
  <si>
    <t>risk_ost_soil_ext</t>
  </si>
  <si>
    <t>risk_ost_soil_tot</t>
  </si>
  <si>
    <t>cdi_soil_sv</t>
  </si>
  <si>
    <t>cdi_soil_1cm</t>
  </si>
  <si>
    <t>cdi_soil_5cm</t>
  </si>
  <si>
    <t>cdi_soil_15cm</t>
  </si>
  <si>
    <t>cdi_soil_gp</t>
  </si>
  <si>
    <t>risk_soil_sv</t>
  </si>
  <si>
    <t>risk_soil_1cm</t>
  </si>
  <si>
    <t>risk_soil_5cm</t>
  </si>
  <si>
    <t>risk_soil_15cm</t>
  </si>
  <si>
    <t>risk_soil_gp</t>
  </si>
  <si>
    <t>cdi_air_inh</t>
  </si>
  <si>
    <t>cdi_air_sub</t>
  </si>
  <si>
    <t>risk_air_inh</t>
  </si>
  <si>
    <t>risk_air_sub</t>
  </si>
  <si>
    <t>risk_air_tot</t>
  </si>
  <si>
    <t>INSTRUCTIONS</t>
  </si>
  <si>
    <t>Disclaimer: This archived file was intended for internal review but has been posted due to interest in historical reviews. This file is no longer used to quality assure the EPA PRG calculator as the calculator has undergone significant updates. Quality assurance spreadsheets have been updated accordingly and are provided on the internal verification page of the EPA PRG website.</t>
  </si>
  <si>
    <t>The point of this QA sheet is to replicate the 'Default', 'Site-Specific with Defaults', and 'Site-Specific User Provided' output results for the PRG (Preliminary Remediation Goals for Radionuclide Contaminants at Superfund Sites) calculator. Below are instructions for understanding the ins and outs of this spreadsheet. Due to the higher than normal processing time for calculating secular equilibrium, this QA sheet only calculates secular equilibrium PRGs for 4 isotopes including Am-241, Ca-137, Rn-222, &amp; Ra-226).</t>
  </si>
  <si>
    <t>Tab Descriptions</t>
  </si>
  <si>
    <r>
      <t xml:space="preserve">These tabs present PRGs in units of pCi for the output option that assumes secular equilibrium. Tabs that do not begin with 's_ ' or 'up_ 'should be used to test the default output. Tabs that begin with 's_' should be used to test the site-specific output and use inputs from the 'ss' tab . </t>
    </r>
    <r>
      <rPr>
        <b/>
        <sz val="11"/>
        <color indexed="9"/>
        <rFont val="Arial"/>
        <family val="2"/>
      </rPr>
      <t xml:space="preserve">Tabs that begin with 'up_' should be used to test the site-specific user provided output and use inputs from the 'ss'. </t>
    </r>
  </si>
  <si>
    <r>
      <t>The</t>
    </r>
    <r>
      <rPr>
        <i/>
        <sz val="11"/>
        <rFont val="Arial"/>
        <family val="2"/>
      </rPr>
      <t xml:space="preserve"> 'RadSpec' </t>
    </r>
    <r>
      <rPr>
        <sz val="11"/>
        <rFont val="Arial"/>
        <family val="2"/>
      </rPr>
      <t>tab contains most isotope specific parameters like slope factors.</t>
    </r>
  </si>
  <si>
    <r>
      <t>The '</t>
    </r>
    <r>
      <rPr>
        <i/>
        <sz val="11"/>
        <rFont val="Arial"/>
        <family val="2"/>
      </rPr>
      <t>def_acf</t>
    </r>
    <r>
      <rPr>
        <sz val="11"/>
        <rFont val="Arial"/>
        <family val="2"/>
      </rPr>
      <t>' tab contains ACFs for slab size 1, cover layer 0, which is used to test recreator output using default input values.</t>
    </r>
  </si>
  <si>
    <t>The 'd' tab contains all the non isotope specific default exposure parameters that are used to calculate PRGs in the defaults tabs.</t>
  </si>
  <si>
    <t xml:space="preserve">The 'ss' tab contains all the non isotope specific site-specific exposure parameters that are used to calculate PRGs in the site specific tabs. </t>
  </si>
  <si>
    <t>Relevant Cell Descriptions on Green Tabs</t>
  </si>
  <si>
    <t>These cells, in column A, represent the primary QA isotopes.</t>
  </si>
  <si>
    <t>These cells, in column A, represent the progeny for the primary QA isotopes.</t>
  </si>
  <si>
    <t>These cells represent 'Chronic Daily Intakes'.</t>
  </si>
  <si>
    <t>These cells represent 'Risk' for individual progeny.</t>
  </si>
  <si>
    <t>These cells represent 'Total Risk' by route and media.</t>
  </si>
  <si>
    <t>These cells represent secular equilibrium PRGs by route and media.</t>
  </si>
  <si>
    <t>These cells represent fractional contribution applied to PRGs. If individuals progeny are included in the output these values will be presented in the tool output.</t>
  </si>
  <si>
    <t>These cells represent fractional contribution applied to CDIs used to determine risk. These values are not presented in the tool risk output.</t>
  </si>
  <si>
    <t>These cells are intermediate calculation steps for determining total that are not presented in the online tool output.</t>
  </si>
  <si>
    <r>
      <t xml:space="preserve">In column B, under the </t>
    </r>
    <r>
      <rPr>
        <b/>
        <sz val="10"/>
        <rFont val="Arial"/>
        <family val="2"/>
      </rPr>
      <t xml:space="preserve">'TEST' </t>
    </r>
    <r>
      <rPr>
        <sz val="10"/>
        <rFont val="Arial"/>
        <family val="2"/>
      </rPr>
      <t>filter, a value of '</t>
    </r>
    <r>
      <rPr>
        <b/>
        <sz val="10"/>
        <rFont val="Arial"/>
        <family val="2"/>
      </rPr>
      <t>Y</t>
    </r>
    <r>
      <rPr>
        <sz val="10"/>
        <rFont val="Arial"/>
        <family val="2"/>
      </rPr>
      <t>' means it is a primary test isotope and '</t>
    </r>
    <r>
      <rPr>
        <b/>
        <sz val="10"/>
        <rFont val="Arial"/>
        <family val="2"/>
      </rPr>
      <t>SE</t>
    </r>
    <r>
      <rPr>
        <sz val="10"/>
        <rFont val="Arial"/>
        <family val="2"/>
      </rPr>
      <t>' means it is a progeny for a primary test isotope.</t>
    </r>
  </si>
  <si>
    <t>Other Important Notes</t>
  </si>
  <si>
    <t>In the 'd' and 'ss' tabs, these cells are calculated based on specific inputs and cannot be altered unless the respective inputs are altered.</t>
  </si>
  <si>
    <t>For the 'Site-Specific with Defaults' and 'Site-Specific User Provided' tabs, the ACF is based on 20,000 and the GSFs are based on 20.</t>
  </si>
  <si>
    <t>Since this tool is used to calculate 'risk', the one hit rule is applied when the risk of exposure by route for a single isotope, summation of all routes for a single isotope, summation of single route for all isotopes, or summation of all routes for all isotopes exceed 0.01.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</si>
</sst>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
  </numFmts>
  <fonts count="34" x14ac:knownFonts="1">
    <font>
      <sz val="11"/>
      <color theme="1"/>
      <name val="Calibri"/>
      <family val="2"/>
      <scheme val="minor"/>
    </font>
    <font>
      <b/>
      <sz val="10"/>
      <name val="Arial"/>
      <family val="2"/>
    </font>
    <font>
      <sz val="11"/>
      <color theme="1"/>
      <name val="Calibri"/>
      <family val="2"/>
      <scheme val="minor"/>
    </font>
    <font>
      <b/>
      <sz val="14"/>
      <color theme="1"/>
      <name val="Calibri"/>
      <family val="2"/>
      <scheme val="minor"/>
    </font>
    <font>
      <vertAlign val="subscript"/>
      <sz val="12"/>
      <color theme="1"/>
      <name val="Calibri"/>
      <family val="2"/>
      <scheme val="minor"/>
    </font>
    <font>
      <sz val="11"/>
      <color rgb="FF005C00"/>
      <name val="Calibri"/>
      <family val="2"/>
      <scheme val="minor"/>
    </font>
    <font>
      <sz val="10"/>
      <name val="Arial"/>
      <family val="2"/>
    </font>
    <font>
      <vertAlign val="subscript"/>
      <sz val="11"/>
      <color theme="1"/>
      <name val="Calibri"/>
      <family val="2"/>
      <scheme val="minor"/>
    </font>
    <font>
      <sz val="11"/>
      <name val="Calibri"/>
      <family val="2"/>
      <scheme val="minor"/>
    </font>
    <font>
      <sz val="10"/>
      <name val="Arial"/>
      <family val="2"/>
      <charset val="1"/>
    </font>
    <font>
      <sz val="12"/>
      <color theme="1"/>
      <name val="Calibri"/>
      <family val="2"/>
      <scheme val="minor"/>
    </font>
    <font>
      <sz val="11"/>
      <color rgb="FF403151"/>
      <name val="Calibri"/>
      <family val="2"/>
      <scheme val="minor"/>
    </font>
    <font>
      <b/>
      <sz val="11"/>
      <color theme="1"/>
      <name val="Calibri"/>
      <family val="2"/>
      <scheme val="minor"/>
    </font>
    <font>
      <b/>
      <sz val="10"/>
      <name val="Arial"/>
      <family val="2"/>
    </font>
    <font>
      <sz val="9"/>
      <color indexed="81"/>
      <name val="Tahoma"/>
      <family val="2"/>
    </font>
    <font>
      <b/>
      <sz val="9"/>
      <color indexed="81"/>
      <name val="Tahoma"/>
      <family val="2"/>
    </font>
    <font>
      <b/>
      <sz val="10"/>
      <color rgb="FFFF0000"/>
      <name val="Arial"/>
      <family val="2"/>
    </font>
    <font>
      <i/>
      <sz val="11"/>
      <color theme="1"/>
      <name val="Calibri"/>
      <family val="2"/>
      <scheme val="minor"/>
    </font>
    <font>
      <sz val="11"/>
      <color rgb="FF151515"/>
      <name val="Calibri"/>
      <family val="2"/>
      <scheme val="minor"/>
    </font>
    <font>
      <b/>
      <i/>
      <sz val="11"/>
      <color theme="1"/>
      <name val="Calibri"/>
      <family val="2"/>
      <scheme val="minor"/>
    </font>
    <font>
      <sz val="11"/>
      <color theme="9" tint="-0.499984740745262"/>
      <name val="Calibri"/>
      <family val="2"/>
      <scheme val="minor"/>
    </font>
    <font>
      <vertAlign val="superscript"/>
      <sz val="11"/>
      <color theme="1"/>
      <name val="Calibri"/>
      <family val="2"/>
      <scheme val="minor"/>
    </font>
    <font>
      <b/>
      <i/>
      <sz val="11"/>
      <color theme="0"/>
      <name val="Calibri"/>
      <family val="2"/>
      <scheme val="minor"/>
    </font>
    <font>
      <b/>
      <sz val="22"/>
      <color rgb="FFFF0000"/>
      <name val="Arial"/>
      <family val="2"/>
    </font>
    <font>
      <b/>
      <sz val="12"/>
      <color rgb="FFFF0000"/>
      <name val="Arial"/>
      <family val="2"/>
    </font>
    <font>
      <b/>
      <sz val="11"/>
      <name val="Arial"/>
      <family val="2"/>
    </font>
    <font>
      <sz val="12"/>
      <name val="Arial"/>
      <family val="2"/>
    </font>
    <font>
      <b/>
      <sz val="12"/>
      <name val="Arial"/>
      <family val="2"/>
    </font>
    <font>
      <b/>
      <sz val="11"/>
      <color theme="0"/>
      <name val="Arial"/>
      <family val="2"/>
    </font>
    <font>
      <b/>
      <sz val="11"/>
      <color indexed="9"/>
      <name val="Arial"/>
      <family val="2"/>
    </font>
    <font>
      <sz val="11"/>
      <name val="Arial"/>
      <family val="2"/>
    </font>
    <font>
      <i/>
      <sz val="11"/>
      <name val="Arial"/>
      <family val="2"/>
    </font>
    <font>
      <sz val="10"/>
      <color theme="0"/>
      <name val="Arial"/>
      <family val="2"/>
    </font>
    <font>
      <sz val="10"/>
      <color rgb="FF008000"/>
      <name val="Arial"/>
      <family val="2"/>
    </font>
  </fonts>
  <fills count="20">
    <fill>
      <patternFill patternType="none"/>
    </fill>
    <fill>
      <patternFill patternType="gray125"/>
    </fill>
    <fill>
      <patternFill patternType="solid">
        <fgColor theme="8" tint="0.79998168889431442"/>
        <bgColor indexed="64"/>
      </patternFill>
    </fill>
    <fill>
      <patternFill patternType="solid">
        <fgColor rgb="FFB3FFB3"/>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rgb="FFCCCCFF"/>
        <bgColor indexed="64"/>
      </patternFill>
    </fill>
    <fill>
      <patternFill patternType="solid">
        <fgColor theme="8" tint="0.59999389629810485"/>
        <bgColor indexed="64"/>
      </patternFill>
    </fill>
    <fill>
      <patternFill patternType="solid">
        <fgColor theme="8" tint="-0.249977111117893"/>
        <bgColor indexed="64"/>
      </patternFill>
    </fill>
    <fill>
      <patternFill patternType="solid">
        <fgColor theme="5" tint="0.39997558519241921"/>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2" tint="-9.9978637043366805E-2"/>
        <bgColor indexed="64"/>
      </patternFill>
    </fill>
    <fill>
      <patternFill patternType="solid">
        <fgColor rgb="FFD5AB81"/>
        <bgColor indexed="64"/>
      </patternFill>
    </fill>
    <fill>
      <patternFill patternType="solid">
        <fgColor rgb="FFFFCCFF"/>
        <bgColor indexed="64"/>
      </patternFill>
    </fill>
    <fill>
      <patternFill patternType="solid">
        <fgColor rgb="FFCCFFFF"/>
        <bgColor indexed="64"/>
      </patternFill>
    </fill>
    <fill>
      <patternFill patternType="solid">
        <fgColor rgb="FFFFB5A3"/>
        <bgColor indexed="64"/>
      </patternFill>
    </fill>
    <fill>
      <patternFill patternType="solid">
        <fgColor theme="9" tint="-0.499984740745262"/>
        <bgColor indexed="64"/>
      </patternFill>
    </fill>
    <fill>
      <patternFill patternType="solid">
        <fgColor theme="0" tint="-0.249977111117893"/>
        <bgColor indexed="64"/>
      </patternFill>
    </fill>
    <fill>
      <patternFill patternType="solid">
        <fgColor rgb="FFE9D9FF"/>
        <bgColor indexed="64"/>
      </patternFill>
    </fill>
  </fills>
  <borders count="7">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s>
  <cellStyleXfs count="6">
    <xf numFmtId="0" fontId="0" fillId="0" borderId="0"/>
    <xf numFmtId="0" fontId="9" fillId="0" borderId="0"/>
    <xf numFmtId="0" fontId="6" fillId="0" borderId="0"/>
    <xf numFmtId="0" fontId="6" fillId="0" borderId="0"/>
    <xf numFmtId="0" fontId="6" fillId="0" borderId="0"/>
    <xf numFmtId="0" fontId="6" fillId="0" borderId="0"/>
  </cellStyleXfs>
  <cellXfs count="113">
    <xf numFmtId="0" fontId="0" fillId="0" borderId="0" xfId="0"/>
    <xf numFmtId="11" fontId="0" fillId="0" borderId="0" xfId="0" applyNumberFormat="1" applyAlignment="1">
      <alignment horizontal="left"/>
    </xf>
    <xf numFmtId="0" fontId="0" fillId="0" borderId="0" xfId="0" applyAlignment="1">
      <alignment horizontal="left"/>
    </xf>
    <xf numFmtId="0" fontId="0" fillId="0" borderId="0" xfId="0" applyAlignment="1" applyProtection="1">
      <alignment horizontal="left"/>
      <protection locked="0"/>
    </xf>
    <xf numFmtId="11" fontId="0" fillId="0" borderId="0" xfId="0" applyNumberFormat="1" applyAlignment="1" applyProtection="1">
      <alignment horizontal="left"/>
      <protection locked="0"/>
    </xf>
    <xf numFmtId="0" fontId="13" fillId="0" borderId="0" xfId="0" applyFont="1" applyAlignment="1" applyProtection="1">
      <alignment horizontal="left"/>
      <protection locked="0"/>
    </xf>
    <xf numFmtId="0" fontId="12" fillId="0" borderId="0" xfId="0" applyFont="1" applyAlignment="1">
      <alignment horizontal="left"/>
    </xf>
    <xf numFmtId="11" fontId="0" fillId="0" borderId="0" xfId="0" applyNumberFormat="1" applyProtection="1">
      <protection locked="0"/>
    </xf>
    <xf numFmtId="11" fontId="1" fillId="0" borderId="0" xfId="0" applyNumberFormat="1" applyFont="1" applyProtection="1">
      <protection locked="0"/>
    </xf>
    <xf numFmtId="11" fontId="16" fillId="0" borderId="0" xfId="0" applyNumberFormat="1" applyFont="1" applyProtection="1">
      <protection locked="0"/>
    </xf>
    <xf numFmtId="0" fontId="0" fillId="0" borderId="0" xfId="0" applyFill="1" applyAlignment="1" applyProtection="1">
      <alignment horizontal="left"/>
      <protection locked="0"/>
    </xf>
    <xf numFmtId="11" fontId="0" fillId="0" borderId="0" xfId="0" applyNumberFormat="1" applyFill="1" applyAlignment="1" applyProtection="1">
      <alignment horizontal="left"/>
      <protection locked="0"/>
    </xf>
    <xf numFmtId="0" fontId="0" fillId="5" borderId="0" xfId="0" applyFill="1" applyAlignment="1" applyProtection="1">
      <alignment horizontal="left"/>
      <protection locked="0"/>
    </xf>
    <xf numFmtId="0" fontId="0" fillId="6" borderId="0" xfId="0" applyFill="1" applyAlignment="1" applyProtection="1">
      <alignment horizontal="left"/>
      <protection locked="0"/>
    </xf>
    <xf numFmtId="11" fontId="0" fillId="0" borderId="0" xfId="0" applyNumberFormat="1" applyAlignment="1" applyProtection="1">
      <alignment horizontal="center"/>
      <protection locked="0"/>
    </xf>
    <xf numFmtId="0" fontId="0" fillId="0" borderId="0" xfId="0" applyAlignment="1" applyProtection="1">
      <alignment horizontal="center"/>
      <protection locked="0"/>
    </xf>
    <xf numFmtId="0" fontId="8" fillId="0" borderId="0" xfId="0" applyFont="1" applyAlignment="1" applyProtection="1">
      <alignment horizontal="center" vertical="center"/>
      <protection locked="0"/>
    </xf>
    <xf numFmtId="0" fontId="6" fillId="0" borderId="0" xfId="0" applyFont="1" applyAlignment="1" applyProtection="1">
      <alignment horizontal="center" vertical="center"/>
      <protection locked="0"/>
    </xf>
    <xf numFmtId="0" fontId="2" fillId="0" borderId="0" xfId="0" applyFont="1" applyAlignment="1" applyProtection="1">
      <alignment horizontal="center"/>
      <protection locked="0"/>
    </xf>
    <xf numFmtId="0" fontId="5" fillId="0" borderId="0" xfId="0" applyFont="1" applyAlignment="1" applyProtection="1">
      <alignment horizontal="center" vertical="center"/>
      <protection locked="0"/>
    </xf>
    <xf numFmtId="0" fontId="8" fillId="0" borderId="0" xfId="2" applyFont="1" applyAlignment="1" applyProtection="1">
      <alignment horizontal="center"/>
      <protection locked="0"/>
    </xf>
    <xf numFmtId="0" fontId="1" fillId="0" borderId="0" xfId="0" applyFont="1" applyAlignment="1" applyProtection="1">
      <alignment horizontal="left"/>
    </xf>
    <xf numFmtId="11" fontId="0" fillId="0" borderId="0" xfId="0" applyNumberFormat="1" applyAlignment="1" applyProtection="1">
      <alignment horizontal="left"/>
    </xf>
    <xf numFmtId="0" fontId="0" fillId="6" borderId="0" xfId="0" applyFill="1" applyAlignment="1" applyProtection="1">
      <alignment horizontal="left"/>
    </xf>
    <xf numFmtId="0" fontId="0" fillId="0" borderId="0" xfId="0" applyAlignment="1" applyProtection="1">
      <alignment horizontal="left"/>
    </xf>
    <xf numFmtId="0" fontId="0" fillId="5" borderId="0" xfId="0" applyFill="1" applyAlignment="1" applyProtection="1">
      <alignment horizontal="left"/>
    </xf>
    <xf numFmtId="0" fontId="12" fillId="9" borderId="0" xfId="0" applyFont="1" applyFill="1" applyAlignment="1" applyProtection="1">
      <alignment horizontal="left"/>
    </xf>
    <xf numFmtId="11" fontId="17" fillId="9" borderId="0" xfId="0" applyNumberFormat="1" applyFont="1" applyFill="1" applyAlignment="1" applyProtection="1">
      <alignment horizontal="left"/>
    </xf>
    <xf numFmtId="11" fontId="19" fillId="9" borderId="0" xfId="0" applyNumberFormat="1" applyFont="1" applyFill="1" applyAlignment="1" applyProtection="1">
      <alignment horizontal="left"/>
    </xf>
    <xf numFmtId="0" fontId="17" fillId="0" borderId="0" xfId="0" applyFont="1" applyAlignment="1" applyProtection="1">
      <alignment horizontal="left"/>
    </xf>
    <xf numFmtId="11" fontId="0" fillId="10" borderId="0" xfId="0" applyNumberFormat="1" applyFill="1" applyAlignment="1" applyProtection="1">
      <alignment horizontal="left"/>
    </xf>
    <xf numFmtId="0" fontId="18" fillId="0" borderId="0" xfId="0" applyFont="1" applyAlignment="1" applyProtection="1">
      <alignment horizontal="left"/>
    </xf>
    <xf numFmtId="0" fontId="0" fillId="0" borderId="0" xfId="0" applyFont="1" applyAlignment="1" applyProtection="1">
      <alignment horizontal="left"/>
    </xf>
    <xf numFmtId="0" fontId="0" fillId="0" borderId="0" xfId="0" applyNumberFormat="1" applyAlignment="1" applyProtection="1">
      <alignment horizontal="left"/>
    </xf>
    <xf numFmtId="0" fontId="0" fillId="0" borderId="0" xfId="0" applyFill="1" applyAlignment="1" applyProtection="1">
      <alignment horizontal="left"/>
    </xf>
    <xf numFmtId="0" fontId="0" fillId="0" borderId="0" xfId="0" applyFont="1" applyFill="1" applyAlignment="1" applyProtection="1">
      <alignment horizontal="left"/>
    </xf>
    <xf numFmtId="0" fontId="0" fillId="0" borderId="0" xfId="0" applyNumberFormat="1" applyFill="1" applyAlignment="1" applyProtection="1">
      <alignment horizontal="left"/>
    </xf>
    <xf numFmtId="11" fontId="17" fillId="2" borderId="0" xfId="0" applyNumberFormat="1" applyFont="1" applyFill="1" applyAlignment="1">
      <alignment horizontal="left"/>
    </xf>
    <xf numFmtId="11" fontId="0" fillId="2" borderId="0" xfId="0" applyNumberFormat="1" applyFill="1" applyAlignment="1">
      <alignment horizontal="left"/>
    </xf>
    <xf numFmtId="11" fontId="17" fillId="4" borderId="0" xfId="0" applyNumberFormat="1" applyFont="1" applyFill="1" applyAlignment="1" applyProtection="1">
      <alignment horizontal="left"/>
    </xf>
    <xf numFmtId="11" fontId="17" fillId="2" borderId="0" xfId="0" applyNumberFormat="1" applyFont="1" applyFill="1" applyAlignment="1" applyProtection="1">
      <alignment horizontal="left"/>
    </xf>
    <xf numFmtId="0" fontId="17" fillId="4" borderId="0" xfId="0" applyFont="1" applyFill="1" applyAlignment="1" applyProtection="1">
      <alignment horizontal="left"/>
    </xf>
    <xf numFmtId="0" fontId="17" fillId="2" borderId="0" xfId="0" applyFont="1" applyFill="1" applyAlignment="1" applyProtection="1">
      <alignment horizontal="left"/>
    </xf>
    <xf numFmtId="11" fontId="0" fillId="4" borderId="0" xfId="0" applyNumberFormat="1" applyFill="1" applyAlignment="1" applyProtection="1">
      <alignment horizontal="left"/>
    </xf>
    <xf numFmtId="11" fontId="0" fillId="0" borderId="0" xfId="0" applyNumberFormat="1" applyFill="1" applyAlignment="1" applyProtection="1">
      <alignment horizontal="left"/>
    </xf>
    <xf numFmtId="11" fontId="19" fillId="2" borderId="0" xfId="0" applyNumberFormat="1" applyFont="1" applyFill="1" applyAlignment="1">
      <alignment horizontal="left"/>
    </xf>
    <xf numFmtId="11" fontId="22" fillId="8" borderId="0" xfId="0" applyNumberFormat="1" applyFont="1" applyFill="1" applyAlignment="1">
      <alignment horizontal="left"/>
    </xf>
    <xf numFmtId="11" fontId="0" fillId="7" borderId="0" xfId="0" applyNumberFormat="1" applyFill="1" applyAlignment="1">
      <alignment horizontal="left"/>
    </xf>
    <xf numFmtId="11" fontId="8" fillId="2" borderId="0" xfId="0" applyNumberFormat="1" applyFont="1" applyFill="1" applyAlignment="1">
      <alignment horizontal="left"/>
    </xf>
    <xf numFmtId="0" fontId="13" fillId="0" borderId="0" xfId="0" applyFont="1" applyAlignment="1" applyProtection="1">
      <alignment horizontal="left"/>
    </xf>
    <xf numFmtId="11" fontId="13" fillId="0" borderId="0" xfId="0" applyNumberFormat="1" applyFont="1" applyAlignment="1" applyProtection="1">
      <alignment horizontal="left"/>
    </xf>
    <xf numFmtId="11" fontId="1" fillId="0" borderId="0" xfId="0" applyNumberFormat="1" applyFont="1" applyAlignment="1" applyProtection="1">
      <alignment horizontal="left"/>
    </xf>
    <xf numFmtId="11" fontId="12" fillId="0" borderId="0" xfId="0" applyNumberFormat="1" applyFont="1" applyFill="1" applyBorder="1" applyAlignment="1" applyProtection="1">
      <alignment horizontal="left" vertical="center"/>
    </xf>
    <xf numFmtId="11" fontId="12" fillId="0" borderId="0" xfId="0" applyNumberFormat="1" applyFont="1" applyAlignment="1" applyProtection="1">
      <alignment horizontal="left" vertical="center"/>
    </xf>
    <xf numFmtId="0" fontId="12" fillId="0" borderId="0" xfId="0" applyFont="1" applyAlignment="1" applyProtection="1">
      <alignment horizontal="left"/>
    </xf>
    <xf numFmtId="11" fontId="5" fillId="3" borderId="0" xfId="0" applyNumberFormat="1" applyFont="1" applyFill="1" applyAlignment="1" applyProtection="1">
      <alignment horizontal="left"/>
    </xf>
    <xf numFmtId="0" fontId="0" fillId="0" borderId="0" xfId="0" applyProtection="1">
      <protection locked="0"/>
    </xf>
    <xf numFmtId="0" fontId="2" fillId="0" borderId="0" xfId="0" applyFont="1" applyProtection="1">
      <protection locked="0"/>
    </xf>
    <xf numFmtId="0" fontId="8" fillId="0" borderId="0" xfId="0" applyFont="1" applyAlignment="1" applyProtection="1">
      <alignment vertical="center"/>
      <protection locked="0"/>
    </xf>
    <xf numFmtId="0" fontId="9" fillId="0" borderId="0" xfId="1" applyProtection="1">
      <protection locked="0"/>
    </xf>
    <xf numFmtId="0" fontId="0" fillId="0" borderId="0" xfId="0" applyAlignment="1" applyProtection="1">
      <alignment vertical="center"/>
      <protection locked="0"/>
    </xf>
    <xf numFmtId="0" fontId="8" fillId="0" borderId="0" xfId="1" applyFont="1" applyProtection="1">
      <protection locked="0"/>
    </xf>
    <xf numFmtId="0" fontId="0" fillId="0" borderId="0" xfId="0" applyAlignment="1" applyProtection="1">
      <alignment horizontal="center" vertical="center"/>
      <protection locked="0"/>
    </xf>
    <xf numFmtId="0" fontId="8" fillId="0" borderId="0" xfId="2" applyFont="1" applyProtection="1">
      <protection locked="0"/>
    </xf>
    <xf numFmtId="0" fontId="11" fillId="0" borderId="0" xfId="0" applyFont="1" applyProtection="1">
      <protection locked="0"/>
    </xf>
    <xf numFmtId="0" fontId="20" fillId="3" borderId="0" xfId="0" applyFont="1" applyFill="1" applyAlignment="1" applyProtection="1">
      <alignment horizontal="center"/>
    </xf>
    <xf numFmtId="11" fontId="5" fillId="3" borderId="0" xfId="0" applyNumberFormat="1" applyFont="1" applyFill="1" applyAlignment="1" applyProtection="1">
      <alignment horizontal="center"/>
    </xf>
    <xf numFmtId="11" fontId="1" fillId="0" borderId="0" xfId="0" applyNumberFormat="1" applyFont="1" applyProtection="1"/>
    <xf numFmtId="11" fontId="0" fillId="0" borderId="0" xfId="0" applyNumberFormat="1" applyProtection="1"/>
    <xf numFmtId="0" fontId="8" fillId="0" borderId="0" xfId="0" applyFont="1" applyProtection="1">
      <protection locked="0"/>
    </xf>
    <xf numFmtId="0" fontId="5" fillId="3" borderId="0" xfId="0" applyFont="1" applyFill="1" applyAlignment="1" applyProtection="1">
      <alignment horizontal="center"/>
    </xf>
    <xf numFmtId="164" fontId="5" fillId="3" borderId="0" xfId="0" applyNumberFormat="1" applyFont="1" applyFill="1" applyAlignment="1" applyProtection="1">
      <alignment horizontal="center"/>
    </xf>
    <xf numFmtId="0" fontId="5" fillId="3" borderId="0" xfId="0" applyFont="1" applyFill="1" applyAlignment="1" applyProtection="1">
      <alignment horizontal="center" vertical="center"/>
    </xf>
    <xf numFmtId="0" fontId="23" fillId="0" borderId="0" xfId="5" applyFont="1" applyAlignment="1">
      <alignment horizontal="center" vertical="center"/>
    </xf>
    <xf numFmtId="0" fontId="23" fillId="0" borderId="0" xfId="5" applyFont="1" applyAlignment="1" applyProtection="1">
      <alignment vertical="center"/>
      <protection locked="0"/>
    </xf>
    <xf numFmtId="0" fontId="6" fillId="0" borderId="0" xfId="5" applyProtection="1">
      <protection locked="0"/>
    </xf>
    <xf numFmtId="0" fontId="24" fillId="0" borderId="1" xfId="5" applyFont="1" applyBorder="1" applyAlignment="1">
      <alignment horizontal="left" vertical="center" wrapText="1"/>
    </xf>
    <xf numFmtId="0" fontId="25" fillId="0" borderId="0" xfId="5" applyFont="1" applyAlignment="1" applyProtection="1">
      <alignment wrapText="1"/>
      <protection locked="0"/>
    </xf>
    <xf numFmtId="0" fontId="25" fillId="0" borderId="0" xfId="5" applyFont="1" applyAlignment="1">
      <alignment wrapText="1"/>
    </xf>
    <xf numFmtId="0" fontId="26" fillId="0" borderId="0" xfId="5" applyFont="1" applyAlignment="1">
      <alignment wrapText="1"/>
    </xf>
    <xf numFmtId="0" fontId="27" fillId="0" borderId="0" xfId="5" applyFont="1" applyAlignment="1">
      <alignment horizontal="center"/>
    </xf>
    <xf numFmtId="0" fontId="28" fillId="17" borderId="2" xfId="5" applyFont="1" applyFill="1" applyBorder="1" applyAlignment="1">
      <alignment wrapText="1"/>
    </xf>
    <xf numFmtId="0" fontId="28" fillId="0" borderId="0" xfId="5" applyFont="1" applyProtection="1">
      <protection locked="0"/>
    </xf>
    <xf numFmtId="0" fontId="25" fillId="0" borderId="3" xfId="5" applyFont="1" applyBorder="1"/>
    <xf numFmtId="0" fontId="30" fillId="0" borderId="3" xfId="5" applyFont="1" applyBorder="1"/>
    <xf numFmtId="0" fontId="30" fillId="0" borderId="4" xfId="5" applyFont="1" applyBorder="1"/>
    <xf numFmtId="0" fontId="6" fillId="5" borderId="2" xfId="4" applyFill="1" applyBorder="1"/>
    <xf numFmtId="0" fontId="6" fillId="6" borderId="3" xfId="4" applyFill="1" applyBorder="1"/>
    <xf numFmtId="0" fontId="6" fillId="4" borderId="3" xfId="4" applyFill="1" applyBorder="1"/>
    <xf numFmtId="0" fontId="6" fillId="7" borderId="3" xfId="4" applyFill="1" applyBorder="1"/>
    <xf numFmtId="0" fontId="32" fillId="8" borderId="3" xfId="4" applyFont="1" applyFill="1" applyBorder="1"/>
    <xf numFmtId="0" fontId="6" fillId="9" borderId="3" xfId="4" applyFill="1" applyBorder="1"/>
    <xf numFmtId="0" fontId="6" fillId="10" borderId="3" xfId="4" applyFill="1" applyBorder="1"/>
    <xf numFmtId="0" fontId="6" fillId="2" borderId="3" xfId="5" applyFill="1" applyBorder="1" applyAlignment="1">
      <alignment wrapText="1"/>
    </xf>
    <xf numFmtId="0" fontId="6" fillId="18" borderId="5" xfId="5" applyFill="1" applyBorder="1" applyAlignment="1">
      <alignment wrapText="1"/>
    </xf>
    <xf numFmtId="0" fontId="6" fillId="0" borderId="4" xfId="5" applyBorder="1"/>
    <xf numFmtId="0" fontId="33" fillId="3" borderId="2" xfId="5" applyFont="1" applyFill="1" applyBorder="1"/>
    <xf numFmtId="0" fontId="16" fillId="0" borderId="6" xfId="5" applyFont="1" applyBorder="1"/>
    <xf numFmtId="0" fontId="6" fillId="0" borderId="4" xfId="5" applyBorder="1" applyAlignment="1">
      <alignment wrapText="1"/>
    </xf>
    <xf numFmtId="0" fontId="6" fillId="0" borderId="0" xfId="5"/>
    <xf numFmtId="0" fontId="3" fillId="15" borderId="0" xfId="0" applyFont="1" applyFill="1" applyAlignment="1" applyProtection="1">
      <alignment horizontal="center"/>
      <protection locked="0"/>
    </xf>
    <xf numFmtId="0" fontId="3" fillId="16" borderId="0" xfId="0" applyFont="1" applyFill="1" applyAlignment="1" applyProtection="1">
      <alignment horizontal="center"/>
      <protection locked="0"/>
    </xf>
    <xf numFmtId="0" fontId="3" fillId="0" borderId="0" xfId="0" applyFont="1" applyAlignment="1" applyProtection="1">
      <alignment horizontal="center"/>
      <protection locked="0"/>
    </xf>
    <xf numFmtId="0" fontId="3" fillId="11" borderId="0" xfId="0" applyFont="1" applyFill="1" applyAlignment="1" applyProtection="1">
      <alignment horizontal="center"/>
      <protection locked="0"/>
    </xf>
    <xf numFmtId="0" fontId="3" fillId="12" borderId="0" xfId="0" applyFont="1" applyFill="1" applyAlignment="1" applyProtection="1">
      <alignment horizontal="center"/>
      <protection locked="0"/>
    </xf>
    <xf numFmtId="0" fontId="3" fillId="6" borderId="0" xfId="0" applyFont="1" applyFill="1" applyAlignment="1" applyProtection="1">
      <alignment horizontal="center"/>
      <protection locked="0"/>
    </xf>
    <xf numFmtId="0" fontId="3" fillId="13" borderId="0" xfId="0" applyFont="1" applyFill="1" applyAlignment="1" applyProtection="1">
      <alignment horizontal="center"/>
      <protection locked="0"/>
    </xf>
    <xf numFmtId="0" fontId="3" fillId="14" borderId="0" xfId="0" applyFont="1" applyFill="1" applyAlignment="1" applyProtection="1">
      <alignment horizontal="center"/>
      <protection locked="0"/>
    </xf>
    <xf numFmtId="0" fontId="1" fillId="0" borderId="0" xfId="0" applyFont="1" applyAlignment="1">
      <alignment horizontal="left"/>
    </xf>
    <xf numFmtId="0" fontId="0" fillId="19" borderId="0" xfId="0" applyFill="1" applyAlignment="1">
      <alignment horizontal="left"/>
    </xf>
    <xf numFmtId="11" fontId="12" fillId="9" borderId="0" xfId="0" applyNumberFormat="1" applyFont="1" applyFill="1" applyAlignment="1">
      <alignment horizontal="left"/>
    </xf>
    <xf numFmtId="0" fontId="18" fillId="0" borderId="0" xfId="0" applyFont="1" applyAlignment="1">
      <alignment horizontal="left"/>
    </xf>
    <xf numFmtId="11" fontId="12" fillId="19" borderId="0" xfId="0" applyNumberFormat="1" applyFont="1" applyFill="1" applyAlignment="1">
      <alignment horizontal="left"/>
    </xf>
  </cellXfs>
  <cellStyles count="6">
    <cellStyle name="Excel Built-in Normal" xfId="1" xr:uid="{00000000-0005-0000-0000-000000000000}"/>
    <cellStyle name="Excel Built-in Normal 2" xfId="2" xr:uid="{00000000-0005-0000-0000-000001000000}"/>
    <cellStyle name="Normal" xfId="0" builtinId="0"/>
    <cellStyle name="Normal 2" xfId="3" xr:uid="{79FD442C-BDA7-4B9B-9559-22E6E5A4DF0A}"/>
    <cellStyle name="Normal 2 2" xfId="4" xr:uid="{BD4A8FEF-E816-4540-BBD5-CDA53A3CB46C}"/>
    <cellStyle name="Normal 2 8" xfId="5" xr:uid="{EBDA4AB6-2559-42F5-875C-6CC86A16E2AE}"/>
  </cellStyles>
  <dxfs count="0"/>
  <tableStyles count="0" defaultTableStyle="TableStyleMedium2" defaultPivotStyle="PivotStyleLight16"/>
  <colors>
    <mruColors>
      <color rgb="FFFFCCCC"/>
      <color rgb="FFCCCCFF"/>
      <color rgb="FF2C5AB6"/>
      <color rgb="FF3366CC"/>
      <color rgb="FF0066CC"/>
      <color rgb="FF003399"/>
      <color rgb="FF0033CC"/>
      <color rgb="FF000099"/>
      <color rgb="FFE9D9FF"/>
      <color rgb="FFCC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k21\OneDrive%20-%20Oak%20Ridge%20National%20Laboratory\EPA%20Tools\SPRG\20200207_EPA_SPRG_QA_KLM_d_st_S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d_rs"/>
      <sheetName val="Fsurf"/>
      <sheetName val="GSF"/>
      <sheetName val="ACF"/>
      <sheetName val="pef"/>
      <sheetName val="d"/>
      <sheetName val="d_res"/>
      <sheetName val="d_ind"/>
      <sheetName val="d_out"/>
      <sheetName val="d_com"/>
      <sheetName val="st"/>
      <sheetName val="st_res"/>
      <sheetName val="st_ind"/>
      <sheetName val="st_out"/>
      <sheetName val="st_com"/>
      <sheetName val="st_res_risk"/>
      <sheetName val="st_ind_risk"/>
      <sheetName val="st_out_risk"/>
      <sheetName val="st_com_risk"/>
    </sheetNames>
    <sheetDataSet>
      <sheetData sheetId="0"/>
      <sheetData sheetId="1"/>
      <sheetData sheetId="2"/>
      <sheetData sheetId="3"/>
      <sheetData sheetId="4"/>
      <sheetData sheetId="5">
        <row r="2">
          <cell r="B2">
            <v>1359344473.5814338</v>
          </cell>
          <cell r="E2">
            <v>1859332.595223096</v>
          </cell>
          <cell r="H2">
            <v>3357550.9780152217</v>
          </cell>
        </row>
        <row r="3">
          <cell r="E3">
            <v>23.017850304789416</v>
          </cell>
          <cell r="H3">
            <v>16.403103329458006</v>
          </cell>
          <cell r="K3">
            <v>81365.469548830835</v>
          </cell>
          <cell r="N3">
            <v>630720000</v>
          </cell>
          <cell r="Q3">
            <v>5</v>
          </cell>
        </row>
        <row r="4">
          <cell r="H4">
            <v>12.9351</v>
          </cell>
          <cell r="K4">
            <v>55</v>
          </cell>
          <cell r="N4">
            <v>0.05</v>
          </cell>
          <cell r="Q4">
            <v>0.5</v>
          </cell>
        </row>
        <row r="5">
          <cell r="N5">
            <v>0.05</v>
          </cell>
          <cell r="Q5">
            <v>0.5</v>
          </cell>
        </row>
        <row r="6">
          <cell r="H6">
            <v>5.7382999999999997</v>
          </cell>
          <cell r="K6">
            <v>55</v>
          </cell>
          <cell r="N6">
            <v>25</v>
          </cell>
        </row>
        <row r="7">
          <cell r="N7">
            <v>5</v>
          </cell>
        </row>
        <row r="8">
          <cell r="B8">
            <v>16.2302</v>
          </cell>
          <cell r="E8">
            <v>12.9351</v>
          </cell>
          <cell r="K8">
            <v>110</v>
          </cell>
          <cell r="N8">
            <v>81365.469548830835</v>
          </cell>
        </row>
        <row r="9">
          <cell r="B9">
            <v>0.5</v>
          </cell>
          <cell r="E9">
            <v>0.5</v>
          </cell>
          <cell r="K9">
            <v>0.14224732438606788</v>
          </cell>
          <cell r="N9">
            <v>5.5000000000000003E-4</v>
          </cell>
        </row>
        <row r="10">
          <cell r="B10">
            <v>18.776199999999999</v>
          </cell>
          <cell r="E10">
            <v>5.7382999999999997</v>
          </cell>
          <cell r="H10">
            <v>650.35448707868431</v>
          </cell>
          <cell r="K10">
            <v>2</v>
          </cell>
          <cell r="N10">
            <v>20</v>
          </cell>
        </row>
        <row r="11">
          <cell r="B11">
            <v>216.108</v>
          </cell>
          <cell r="E11">
            <v>71.771100000000004</v>
          </cell>
          <cell r="H11">
            <v>466.69069680468465</v>
          </cell>
          <cell r="K11">
            <v>26</v>
          </cell>
          <cell r="N11">
            <v>0.5</v>
          </cell>
        </row>
        <row r="12">
          <cell r="H12">
            <v>15</v>
          </cell>
          <cell r="K12">
            <v>5</v>
          </cell>
          <cell r="N12">
            <v>0.5</v>
          </cell>
        </row>
        <row r="13">
          <cell r="H13">
            <v>630720000</v>
          </cell>
          <cell r="K13">
            <v>0.5</v>
          </cell>
          <cell r="N13">
            <v>0.25</v>
          </cell>
        </row>
        <row r="14">
          <cell r="B14">
            <v>310266453.07805806</v>
          </cell>
          <cell r="E14">
            <v>274.11419061460487</v>
          </cell>
          <cell r="H14">
            <v>1.4999999999999999E-2</v>
          </cell>
          <cell r="K14">
            <v>0.14224732438606788</v>
          </cell>
        </row>
        <row r="15">
          <cell r="B15">
            <v>57.149400209416989</v>
          </cell>
          <cell r="E15">
            <v>147.52709310496155</v>
          </cell>
        </row>
        <row r="16">
          <cell r="B16">
            <v>0.25</v>
          </cell>
          <cell r="E16">
            <v>20</v>
          </cell>
          <cell r="H16">
            <v>0.5</v>
          </cell>
        </row>
        <row r="17">
          <cell r="B17">
            <v>5</v>
          </cell>
          <cell r="E17">
            <v>819936000</v>
          </cell>
          <cell r="H17">
            <v>70</v>
          </cell>
        </row>
        <row r="18">
          <cell r="B18">
            <v>11.32</v>
          </cell>
          <cell r="E18">
            <v>1.4999999999999999E-2</v>
          </cell>
          <cell r="H18">
            <v>37244808.873140946</v>
          </cell>
        </row>
        <row r="19">
          <cell r="B19">
            <v>0.28499999999999998</v>
          </cell>
          <cell r="E19">
            <v>3.2</v>
          </cell>
          <cell r="H19">
            <v>0.1422468576953711</v>
          </cell>
        </row>
        <row r="20">
          <cell r="B20">
            <v>15.025</v>
          </cell>
          <cell r="E20">
            <v>0.62</v>
          </cell>
          <cell r="H20">
            <v>13576000000</v>
          </cell>
        </row>
        <row r="21">
          <cell r="B21">
            <v>5</v>
          </cell>
          <cell r="E21">
            <v>150</v>
          </cell>
          <cell r="H21">
            <v>1037</v>
          </cell>
        </row>
        <row r="22">
          <cell r="B22">
            <v>18.252600000000001</v>
          </cell>
          <cell r="E22">
            <v>69761048.527891546</v>
          </cell>
          <cell r="H22">
            <v>20</v>
          </cell>
        </row>
        <row r="23">
          <cell r="B23">
            <v>207.33869999999999</v>
          </cell>
          <cell r="E23">
            <v>4.4966110451299182E-2</v>
          </cell>
        </row>
        <row r="24">
          <cell r="E24">
            <v>121965000000</v>
          </cell>
        </row>
        <row r="25">
          <cell r="E25">
            <v>2044</v>
          </cell>
        </row>
        <row r="26">
          <cell r="E26">
            <v>26</v>
          </cell>
        </row>
      </sheetData>
      <sheetData sheetId="6">
        <row r="2">
          <cell r="B2">
            <v>9.9999999999999995E-7</v>
          </cell>
          <cell r="E2">
            <v>6</v>
          </cell>
        </row>
        <row r="3">
          <cell r="E3">
            <v>20</v>
          </cell>
          <cell r="H3">
            <v>25</v>
          </cell>
          <cell r="K3">
            <v>25</v>
          </cell>
          <cell r="N3">
            <v>25</v>
          </cell>
        </row>
        <row r="4">
          <cell r="B4">
            <v>1</v>
          </cell>
          <cell r="E4">
            <v>26</v>
          </cell>
          <cell r="H4">
            <v>250</v>
          </cell>
          <cell r="K4">
            <v>225</v>
          </cell>
          <cell r="N4">
            <v>250</v>
          </cell>
        </row>
        <row r="5">
          <cell r="B5">
            <v>1</v>
          </cell>
          <cell r="E5">
            <v>350</v>
          </cell>
          <cell r="H5">
            <v>8</v>
          </cell>
          <cell r="K5">
            <v>8</v>
          </cell>
          <cell r="N5">
            <v>8</v>
          </cell>
        </row>
        <row r="6">
          <cell r="B6">
            <v>0.5</v>
          </cell>
          <cell r="E6">
            <v>350</v>
          </cell>
          <cell r="H6">
            <v>2.5</v>
          </cell>
          <cell r="K6">
            <v>2.5</v>
          </cell>
          <cell r="N6">
            <v>2.5</v>
          </cell>
        </row>
        <row r="7">
          <cell r="B7">
            <v>0.5</v>
          </cell>
          <cell r="E7">
            <v>350</v>
          </cell>
          <cell r="H7">
            <v>49</v>
          </cell>
          <cell r="K7">
            <v>49</v>
          </cell>
          <cell r="N7">
            <v>49</v>
          </cell>
        </row>
        <row r="8">
          <cell r="B8">
            <v>1</v>
          </cell>
          <cell r="E8">
            <v>2</v>
          </cell>
          <cell r="H8">
            <v>2</v>
          </cell>
          <cell r="K8">
            <v>2</v>
          </cell>
          <cell r="N8">
            <v>3</v>
          </cell>
        </row>
        <row r="9">
          <cell r="B9">
            <v>0.4</v>
          </cell>
          <cell r="E9">
            <v>10</v>
          </cell>
          <cell r="H9">
            <v>25</v>
          </cell>
          <cell r="K9">
            <v>25</v>
          </cell>
          <cell r="N9">
            <v>25</v>
          </cell>
        </row>
        <row r="10">
          <cell r="B10">
            <v>667000000</v>
          </cell>
          <cell r="E10">
            <v>10</v>
          </cell>
          <cell r="H10">
            <v>196</v>
          </cell>
          <cell r="K10">
            <v>196</v>
          </cell>
          <cell r="N10">
            <v>294</v>
          </cell>
        </row>
        <row r="11">
          <cell r="E11">
            <v>20</v>
          </cell>
        </row>
        <row r="12">
          <cell r="E12">
            <v>4</v>
          </cell>
        </row>
        <row r="13">
          <cell r="E13">
            <v>4</v>
          </cell>
        </row>
        <row r="14">
          <cell r="E14">
            <v>1.752</v>
          </cell>
        </row>
        <row r="15">
          <cell r="E15">
            <v>16.416</v>
          </cell>
        </row>
        <row r="16">
          <cell r="E16">
            <v>49</v>
          </cell>
        </row>
        <row r="17">
          <cell r="E17">
            <v>16</v>
          </cell>
        </row>
        <row r="18">
          <cell r="E18">
            <v>26</v>
          </cell>
        </row>
        <row r="19">
          <cell r="E19">
            <v>1022000</v>
          </cell>
        </row>
        <row r="20">
          <cell r="E20">
            <v>161000</v>
          </cell>
        </row>
      </sheetData>
      <sheetData sheetId="7"/>
      <sheetData sheetId="8"/>
      <sheetData sheetId="9"/>
      <sheetData sheetId="10"/>
      <sheetData sheetId="11">
        <row r="2">
          <cell r="B2">
            <v>9.9999999999999995E-7</v>
          </cell>
          <cell r="E2">
            <v>5</v>
          </cell>
        </row>
        <row r="3">
          <cell r="B3">
            <v>0.25</v>
          </cell>
          <cell r="E3">
            <v>15</v>
          </cell>
          <cell r="H3">
            <v>20</v>
          </cell>
          <cell r="K3">
            <v>20</v>
          </cell>
          <cell r="N3">
            <v>20</v>
          </cell>
        </row>
        <row r="4">
          <cell r="E4">
            <v>20</v>
          </cell>
          <cell r="H4">
            <v>55</v>
          </cell>
          <cell r="K4">
            <v>55</v>
          </cell>
          <cell r="N4">
            <v>55</v>
          </cell>
        </row>
        <row r="5">
          <cell r="B5">
            <v>2</v>
          </cell>
          <cell r="E5">
            <v>55</v>
          </cell>
          <cell r="H5">
            <v>5</v>
          </cell>
          <cell r="K5">
            <v>5</v>
          </cell>
          <cell r="N5">
            <v>5</v>
          </cell>
        </row>
        <row r="6">
          <cell r="B6">
            <v>2</v>
          </cell>
          <cell r="E6">
            <v>55</v>
          </cell>
          <cell r="H6">
            <v>5</v>
          </cell>
          <cell r="K6">
            <v>5</v>
          </cell>
          <cell r="N6">
            <v>5</v>
          </cell>
        </row>
        <row r="7">
          <cell r="B7">
            <v>0.7</v>
          </cell>
          <cell r="E7">
            <v>55</v>
          </cell>
          <cell r="H7">
            <v>55</v>
          </cell>
          <cell r="K7">
            <v>55</v>
          </cell>
          <cell r="N7">
            <v>55</v>
          </cell>
        </row>
        <row r="8">
          <cell r="B8">
            <v>0.7</v>
          </cell>
          <cell r="E8">
            <v>5</v>
          </cell>
          <cell r="H8">
            <v>5</v>
          </cell>
          <cell r="K8">
            <v>5</v>
          </cell>
          <cell r="N8">
            <v>5</v>
          </cell>
        </row>
        <row r="9">
          <cell r="B9">
            <v>2</v>
          </cell>
          <cell r="E9">
            <v>5</v>
          </cell>
          <cell r="H9">
            <v>20</v>
          </cell>
          <cell r="K9">
            <v>20</v>
          </cell>
          <cell r="N9">
            <v>20</v>
          </cell>
        </row>
        <row r="10">
          <cell r="B10">
            <v>0.4</v>
          </cell>
          <cell r="E10">
            <v>5</v>
          </cell>
          <cell r="H10">
            <v>673.74999999999989</v>
          </cell>
          <cell r="K10">
            <v>673.74999999999989</v>
          </cell>
          <cell r="N10">
            <v>673.74999999999989</v>
          </cell>
        </row>
        <row r="11">
          <cell r="B11">
            <v>666666666.66666603</v>
          </cell>
          <cell r="E11">
            <v>10</v>
          </cell>
          <cell r="H11">
            <v>0.1986524106001829</v>
          </cell>
          <cell r="K11">
            <v>0.1986524106001829</v>
          </cell>
          <cell r="N11">
            <v>0.1986524106001829</v>
          </cell>
        </row>
        <row r="12">
          <cell r="E12">
            <v>5</v>
          </cell>
        </row>
        <row r="13">
          <cell r="E13">
            <v>5</v>
          </cell>
        </row>
        <row r="14">
          <cell r="E14">
            <v>5</v>
          </cell>
        </row>
        <row r="15">
          <cell r="E15">
            <v>10</v>
          </cell>
        </row>
        <row r="16">
          <cell r="E16">
            <v>55</v>
          </cell>
        </row>
        <row r="17">
          <cell r="E17">
            <v>55</v>
          </cell>
        </row>
        <row r="18">
          <cell r="E18">
            <v>20</v>
          </cell>
        </row>
        <row r="19">
          <cell r="E19">
            <v>741125</v>
          </cell>
        </row>
        <row r="20">
          <cell r="E20">
            <v>9625</v>
          </cell>
        </row>
        <row r="21">
          <cell r="E21">
            <v>0.1986524106001829</v>
          </cell>
        </row>
      </sheetData>
      <sheetData sheetId="12"/>
      <sheetData sheetId="13"/>
      <sheetData sheetId="14"/>
      <sheetData sheetId="15"/>
      <sheetData sheetId="16"/>
      <sheetData sheetId="17"/>
      <sheetData sheetId="18"/>
      <sheetData sheetId="1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9.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4B5BDC-E880-42A8-BE93-5E3123394092}">
  <sheetPr codeName="Sheet1"/>
  <dimension ref="B1:N31"/>
  <sheetViews>
    <sheetView tabSelected="1" workbookViewId="0">
      <pane xSplit="1" ySplit="2" topLeftCell="B3" activePane="bottomRight" state="frozen"/>
      <selection pane="topRight" activeCell="B1" sqref="B1"/>
      <selection pane="bottomLeft" activeCell="A3" sqref="A3"/>
      <selection pane="bottomRight" activeCell="B3" sqref="B3"/>
    </sheetView>
  </sheetViews>
  <sheetFormatPr defaultRowHeight="12.75" x14ac:dyDescent="0.2"/>
  <cols>
    <col min="1" max="1" width="9.140625" style="75"/>
    <col min="2" max="2" width="159.140625" style="99" bestFit="1" customWidth="1"/>
    <col min="3" max="257" width="9.140625" style="75"/>
    <col min="258" max="258" width="118.85546875" style="75" bestFit="1" customWidth="1"/>
    <col min="259" max="513" width="9.140625" style="75"/>
    <col min="514" max="514" width="118.85546875" style="75" bestFit="1" customWidth="1"/>
    <col min="515" max="769" width="9.140625" style="75"/>
    <col min="770" max="770" width="118.85546875" style="75" bestFit="1" customWidth="1"/>
    <col min="771" max="1025" width="9.140625" style="75"/>
    <col min="1026" max="1026" width="118.85546875" style="75" bestFit="1" customWidth="1"/>
    <col min="1027" max="1281" width="9.140625" style="75"/>
    <col min="1282" max="1282" width="118.85546875" style="75" bestFit="1" customWidth="1"/>
    <col min="1283" max="1537" width="9.140625" style="75"/>
    <col min="1538" max="1538" width="118.85546875" style="75" bestFit="1" customWidth="1"/>
    <col min="1539" max="1793" width="9.140625" style="75"/>
    <col min="1794" max="1794" width="118.85546875" style="75" bestFit="1" customWidth="1"/>
    <col min="1795" max="2049" width="9.140625" style="75"/>
    <col min="2050" max="2050" width="118.85546875" style="75" bestFit="1" customWidth="1"/>
    <col min="2051" max="2305" width="9.140625" style="75"/>
    <col min="2306" max="2306" width="118.85546875" style="75" bestFit="1" customWidth="1"/>
    <col min="2307" max="2561" width="9.140625" style="75"/>
    <col min="2562" max="2562" width="118.85546875" style="75" bestFit="1" customWidth="1"/>
    <col min="2563" max="2817" width="9.140625" style="75"/>
    <col min="2818" max="2818" width="118.85546875" style="75" bestFit="1" customWidth="1"/>
    <col min="2819" max="3073" width="9.140625" style="75"/>
    <col min="3074" max="3074" width="118.85546875" style="75" bestFit="1" customWidth="1"/>
    <col min="3075" max="3329" width="9.140625" style="75"/>
    <col min="3330" max="3330" width="118.85546875" style="75" bestFit="1" customWidth="1"/>
    <col min="3331" max="3585" width="9.140625" style="75"/>
    <col min="3586" max="3586" width="118.85546875" style="75" bestFit="1" customWidth="1"/>
    <col min="3587" max="3841" width="9.140625" style="75"/>
    <col min="3842" max="3842" width="118.85546875" style="75" bestFit="1" customWidth="1"/>
    <col min="3843" max="4097" width="9.140625" style="75"/>
    <col min="4098" max="4098" width="118.85546875" style="75" bestFit="1" customWidth="1"/>
    <col min="4099" max="4353" width="9.140625" style="75"/>
    <col min="4354" max="4354" width="118.85546875" style="75" bestFit="1" customWidth="1"/>
    <col min="4355" max="4609" width="9.140625" style="75"/>
    <col min="4610" max="4610" width="118.85546875" style="75" bestFit="1" customWidth="1"/>
    <col min="4611" max="4865" width="9.140625" style="75"/>
    <col min="4866" max="4866" width="118.85546875" style="75" bestFit="1" customWidth="1"/>
    <col min="4867" max="5121" width="9.140625" style="75"/>
    <col min="5122" max="5122" width="118.85546875" style="75" bestFit="1" customWidth="1"/>
    <col min="5123" max="5377" width="9.140625" style="75"/>
    <col min="5378" max="5378" width="118.85546875" style="75" bestFit="1" customWidth="1"/>
    <col min="5379" max="5633" width="9.140625" style="75"/>
    <col min="5634" max="5634" width="118.85546875" style="75" bestFit="1" customWidth="1"/>
    <col min="5635" max="5889" width="9.140625" style="75"/>
    <col min="5890" max="5890" width="118.85546875" style="75" bestFit="1" customWidth="1"/>
    <col min="5891" max="6145" width="9.140625" style="75"/>
    <col min="6146" max="6146" width="118.85546875" style="75" bestFit="1" customWidth="1"/>
    <col min="6147" max="6401" width="9.140625" style="75"/>
    <col min="6402" max="6402" width="118.85546875" style="75" bestFit="1" customWidth="1"/>
    <col min="6403" max="6657" width="9.140625" style="75"/>
    <col min="6658" max="6658" width="118.85546875" style="75" bestFit="1" customWidth="1"/>
    <col min="6659" max="6913" width="9.140625" style="75"/>
    <col min="6914" max="6914" width="118.85546875" style="75" bestFit="1" customWidth="1"/>
    <col min="6915" max="7169" width="9.140625" style="75"/>
    <col min="7170" max="7170" width="118.85546875" style="75" bestFit="1" customWidth="1"/>
    <col min="7171" max="7425" width="9.140625" style="75"/>
    <col min="7426" max="7426" width="118.85546875" style="75" bestFit="1" customWidth="1"/>
    <col min="7427" max="7681" width="9.140625" style="75"/>
    <col min="7682" max="7682" width="118.85546875" style="75" bestFit="1" customWidth="1"/>
    <col min="7683" max="7937" width="9.140625" style="75"/>
    <col min="7938" max="7938" width="118.85546875" style="75" bestFit="1" customWidth="1"/>
    <col min="7939" max="8193" width="9.140625" style="75"/>
    <col min="8194" max="8194" width="118.85546875" style="75" bestFit="1" customWidth="1"/>
    <col min="8195" max="8449" width="9.140625" style="75"/>
    <col min="8450" max="8450" width="118.85546875" style="75" bestFit="1" customWidth="1"/>
    <col min="8451" max="8705" width="9.140625" style="75"/>
    <col min="8706" max="8706" width="118.85546875" style="75" bestFit="1" customWidth="1"/>
    <col min="8707" max="8961" width="9.140625" style="75"/>
    <col min="8962" max="8962" width="118.85546875" style="75" bestFit="1" customWidth="1"/>
    <col min="8963" max="9217" width="9.140625" style="75"/>
    <col min="9218" max="9218" width="118.85546875" style="75" bestFit="1" customWidth="1"/>
    <col min="9219" max="9473" width="9.140625" style="75"/>
    <col min="9474" max="9474" width="118.85546875" style="75" bestFit="1" customWidth="1"/>
    <col min="9475" max="9729" width="9.140625" style="75"/>
    <col min="9730" max="9730" width="118.85546875" style="75" bestFit="1" customWidth="1"/>
    <col min="9731" max="9985" width="9.140625" style="75"/>
    <col min="9986" max="9986" width="118.85546875" style="75" bestFit="1" customWidth="1"/>
    <col min="9987" max="10241" width="9.140625" style="75"/>
    <col min="10242" max="10242" width="118.85546875" style="75" bestFit="1" customWidth="1"/>
    <col min="10243" max="10497" width="9.140625" style="75"/>
    <col min="10498" max="10498" width="118.85546875" style="75" bestFit="1" customWidth="1"/>
    <col min="10499" max="10753" width="9.140625" style="75"/>
    <col min="10754" max="10754" width="118.85546875" style="75" bestFit="1" customWidth="1"/>
    <col min="10755" max="11009" width="9.140625" style="75"/>
    <col min="11010" max="11010" width="118.85546875" style="75" bestFit="1" customWidth="1"/>
    <col min="11011" max="11265" width="9.140625" style="75"/>
    <col min="11266" max="11266" width="118.85546875" style="75" bestFit="1" customWidth="1"/>
    <col min="11267" max="11521" width="9.140625" style="75"/>
    <col min="11522" max="11522" width="118.85546875" style="75" bestFit="1" customWidth="1"/>
    <col min="11523" max="11777" width="9.140625" style="75"/>
    <col min="11778" max="11778" width="118.85546875" style="75" bestFit="1" customWidth="1"/>
    <col min="11779" max="12033" width="9.140625" style="75"/>
    <col min="12034" max="12034" width="118.85546875" style="75" bestFit="1" customWidth="1"/>
    <col min="12035" max="12289" width="9.140625" style="75"/>
    <col min="12290" max="12290" width="118.85546875" style="75" bestFit="1" customWidth="1"/>
    <col min="12291" max="12545" width="9.140625" style="75"/>
    <col min="12546" max="12546" width="118.85546875" style="75" bestFit="1" customWidth="1"/>
    <col min="12547" max="12801" width="9.140625" style="75"/>
    <col min="12802" max="12802" width="118.85546875" style="75" bestFit="1" customWidth="1"/>
    <col min="12803" max="13057" width="9.140625" style="75"/>
    <col min="13058" max="13058" width="118.85546875" style="75" bestFit="1" customWidth="1"/>
    <col min="13059" max="13313" width="9.140625" style="75"/>
    <col min="13314" max="13314" width="118.85546875" style="75" bestFit="1" customWidth="1"/>
    <col min="13315" max="13569" width="9.140625" style="75"/>
    <col min="13570" max="13570" width="118.85546875" style="75" bestFit="1" customWidth="1"/>
    <col min="13571" max="13825" width="9.140625" style="75"/>
    <col min="13826" max="13826" width="118.85546875" style="75" bestFit="1" customWidth="1"/>
    <col min="13827" max="14081" width="9.140625" style="75"/>
    <col min="14082" max="14082" width="118.85546875" style="75" bestFit="1" customWidth="1"/>
    <col min="14083" max="14337" width="9.140625" style="75"/>
    <col min="14338" max="14338" width="118.85546875" style="75" bestFit="1" customWidth="1"/>
    <col min="14339" max="14593" width="9.140625" style="75"/>
    <col min="14594" max="14594" width="118.85546875" style="75" bestFit="1" customWidth="1"/>
    <col min="14595" max="14849" width="9.140625" style="75"/>
    <col min="14850" max="14850" width="118.85546875" style="75" bestFit="1" customWidth="1"/>
    <col min="14851" max="15105" width="9.140625" style="75"/>
    <col min="15106" max="15106" width="118.85546875" style="75" bestFit="1" customWidth="1"/>
    <col min="15107" max="15361" width="9.140625" style="75"/>
    <col min="15362" max="15362" width="118.85546875" style="75" bestFit="1" customWidth="1"/>
    <col min="15363" max="15617" width="9.140625" style="75"/>
    <col min="15618" max="15618" width="118.85546875" style="75" bestFit="1" customWidth="1"/>
    <col min="15619" max="15873" width="9.140625" style="75"/>
    <col min="15874" max="15874" width="118.85546875" style="75" bestFit="1" customWidth="1"/>
    <col min="15875" max="16129" width="9.140625" style="75"/>
    <col min="16130" max="16130" width="118.85546875" style="75" bestFit="1" customWidth="1"/>
    <col min="16131" max="16384" width="9.140625" style="75"/>
  </cols>
  <sheetData>
    <row r="1" spans="2:14" ht="28.5" thickBot="1" x14ac:dyDescent="0.25">
      <c r="B1" s="73" t="s">
        <v>386</v>
      </c>
      <c r="C1" s="74"/>
      <c r="D1" s="74"/>
      <c r="E1" s="74"/>
      <c r="F1" s="74"/>
      <c r="G1" s="74"/>
      <c r="H1" s="74"/>
      <c r="I1" s="74"/>
      <c r="J1" s="74"/>
      <c r="K1" s="74"/>
      <c r="L1" s="74"/>
      <c r="M1" s="74"/>
      <c r="N1" s="74"/>
    </row>
    <row r="2" spans="2:14" ht="48" thickBot="1" x14ac:dyDescent="0.3">
      <c r="B2" s="76" t="s">
        <v>387</v>
      </c>
      <c r="C2" s="77"/>
      <c r="D2" s="77"/>
      <c r="E2" s="77"/>
      <c r="F2" s="77"/>
      <c r="G2" s="77"/>
      <c r="H2" s="77"/>
      <c r="I2" s="77"/>
      <c r="J2" s="77"/>
      <c r="K2" s="77"/>
      <c r="L2" s="77"/>
      <c r="M2" s="77"/>
      <c r="N2" s="77"/>
    </row>
    <row r="3" spans="2:14" ht="15" x14ac:dyDescent="0.25">
      <c r="B3" s="78"/>
      <c r="C3" s="77"/>
      <c r="D3" s="77"/>
      <c r="E3" s="77"/>
      <c r="F3" s="77"/>
      <c r="G3" s="77"/>
      <c r="H3" s="77"/>
      <c r="I3" s="77"/>
      <c r="J3" s="77"/>
      <c r="K3" s="77"/>
      <c r="L3" s="77"/>
      <c r="M3" s="77"/>
      <c r="N3" s="77"/>
    </row>
    <row r="4" spans="2:14" ht="60.75" x14ac:dyDescent="0.25">
      <c r="B4" s="79" t="s">
        <v>388</v>
      </c>
      <c r="C4" s="77"/>
      <c r="D4" s="77"/>
      <c r="E4" s="77"/>
      <c r="F4" s="77"/>
      <c r="G4" s="77"/>
      <c r="H4" s="77"/>
      <c r="I4" s="77"/>
      <c r="J4" s="77"/>
      <c r="K4" s="77"/>
      <c r="L4" s="77"/>
      <c r="M4" s="77"/>
      <c r="N4" s="77"/>
    </row>
    <row r="6" spans="2:14" ht="16.5" thickBot="1" x14ac:dyDescent="0.3">
      <c r="B6" s="80" t="s">
        <v>389</v>
      </c>
    </row>
    <row r="7" spans="2:14" ht="45" x14ac:dyDescent="0.25">
      <c r="B7" s="81" t="s">
        <v>390</v>
      </c>
      <c r="C7" s="82"/>
      <c r="D7" s="82"/>
      <c r="E7" s="82"/>
      <c r="F7" s="82"/>
      <c r="G7" s="82"/>
      <c r="H7" s="82"/>
      <c r="I7" s="82"/>
      <c r="J7" s="82"/>
      <c r="K7" s="82"/>
      <c r="L7" s="82"/>
      <c r="M7" s="82"/>
      <c r="N7" s="82"/>
    </row>
    <row r="8" spans="2:14" ht="15" x14ac:dyDescent="0.25">
      <c r="B8" s="83"/>
    </row>
    <row r="9" spans="2:14" ht="14.25" x14ac:dyDescent="0.2">
      <c r="B9" s="84" t="s">
        <v>391</v>
      </c>
    </row>
    <row r="10" spans="2:14" ht="14.25" x14ac:dyDescent="0.2">
      <c r="B10" s="84" t="s">
        <v>392</v>
      </c>
    </row>
    <row r="11" spans="2:14" ht="14.25" x14ac:dyDescent="0.2">
      <c r="B11" s="84"/>
    </row>
    <row r="12" spans="2:14" ht="14.25" x14ac:dyDescent="0.2">
      <c r="B12" s="84" t="s">
        <v>393</v>
      </c>
    </row>
    <row r="13" spans="2:14" ht="15" thickBot="1" x14ac:dyDescent="0.25">
      <c r="B13" s="85" t="s">
        <v>394</v>
      </c>
    </row>
    <row r="16" spans="2:14" ht="16.5" thickBot="1" x14ac:dyDescent="0.3">
      <c r="B16" s="80" t="s">
        <v>395</v>
      </c>
    </row>
    <row r="17" spans="2:2" x14ac:dyDescent="0.2">
      <c r="B17" s="86" t="s">
        <v>396</v>
      </c>
    </row>
    <row r="18" spans="2:2" x14ac:dyDescent="0.2">
      <c r="B18" s="87" t="s">
        <v>397</v>
      </c>
    </row>
    <row r="19" spans="2:2" x14ac:dyDescent="0.2">
      <c r="B19" s="88" t="s">
        <v>398</v>
      </c>
    </row>
    <row r="20" spans="2:2" x14ac:dyDescent="0.2">
      <c r="B20" s="89" t="s">
        <v>399</v>
      </c>
    </row>
    <row r="21" spans="2:2" x14ac:dyDescent="0.2">
      <c r="B21" s="90" t="s">
        <v>400</v>
      </c>
    </row>
    <row r="22" spans="2:2" x14ac:dyDescent="0.2">
      <c r="B22" s="91" t="s">
        <v>401</v>
      </c>
    </row>
    <row r="23" spans="2:2" x14ac:dyDescent="0.2">
      <c r="B23" s="92" t="s">
        <v>402</v>
      </c>
    </row>
    <row r="24" spans="2:2" x14ac:dyDescent="0.2">
      <c r="B24" s="93" t="s">
        <v>403</v>
      </c>
    </row>
    <row r="25" spans="2:2" x14ac:dyDescent="0.2">
      <c r="B25" s="94" t="s">
        <v>404</v>
      </c>
    </row>
    <row r="26" spans="2:2" ht="13.5" thickBot="1" x14ac:dyDescent="0.25">
      <c r="B26" s="95" t="s">
        <v>405</v>
      </c>
    </row>
    <row r="28" spans="2:2" ht="16.5" thickBot="1" x14ac:dyDescent="0.3">
      <c r="B28" s="80" t="s">
        <v>406</v>
      </c>
    </row>
    <row r="29" spans="2:2" x14ac:dyDescent="0.2">
      <c r="B29" s="96" t="s">
        <v>407</v>
      </c>
    </row>
    <row r="30" spans="2:2" x14ac:dyDescent="0.2">
      <c r="B30" s="97" t="s">
        <v>408</v>
      </c>
    </row>
    <row r="31" spans="2:2" ht="26.25" thickBot="1" x14ac:dyDescent="0.25">
      <c r="B31" s="98" t="s">
        <v>409</v>
      </c>
    </row>
  </sheetData>
  <sheetProtection algorithmName="SHA-512" hashValue="PhoSGDoYxbJYBQrCHbxxWtPBP65NGXkA9pPOhOyl7bDXd5PFo6KnWrPdKOUjC/SDWRL8qq/1AlRmecbFYFK31w==" saltValue="eWzWcFC/9EFb5Ju+ql7dhA==" spinCount="100000" sheet="1" formatColumns="0" formatRows="0"/>
  <pageMargins left="0.7" right="0.7" top="0.75" bottom="0.75" header="0.3" footer="0.3"/>
  <pageSetup orientation="portrait" horizontalDpi="1200" verticalDpi="12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1">
    <tabColor theme="9" tint="-0.499984740745262"/>
  </sheetPr>
  <dimension ref="A1:AK76"/>
  <sheetViews>
    <sheetView zoomScale="90" zoomScaleNormal="90" workbookViewId="0">
      <pane xSplit="2" ySplit="1" topLeftCell="C2" activePane="bottomRight" state="frozen"/>
      <selection activeCell="AA1390" sqref="AA1390"/>
      <selection pane="topRight" activeCell="AA1390" sqref="AA1390"/>
      <selection pane="bottomLeft" activeCell="AA1390" sqref="AA1390"/>
      <selection pane="bottomRight" activeCell="C2" sqref="C2"/>
    </sheetView>
  </sheetViews>
  <sheetFormatPr defaultColWidth="9.140625" defaultRowHeight="15" x14ac:dyDescent="0.25"/>
  <cols>
    <col min="1" max="1" width="15.42578125" style="3" customWidth="1"/>
    <col min="2" max="2" width="13.28515625" style="3" bestFit="1" customWidth="1"/>
    <col min="3" max="3" width="13.28515625" style="3" customWidth="1"/>
    <col min="4" max="4" width="14.42578125" style="2" bestFit="1" customWidth="1"/>
    <col min="5" max="5" width="14.5703125" style="2" bestFit="1" customWidth="1"/>
    <col min="6" max="6" width="14.28515625" style="2" bestFit="1" customWidth="1"/>
    <col min="7" max="9" width="14.140625" style="2" bestFit="1" customWidth="1"/>
    <col min="10" max="10" width="14" style="2" bestFit="1" customWidth="1"/>
    <col min="11" max="12" width="14.5703125" style="2" bestFit="1" customWidth="1"/>
    <col min="13" max="13" width="14.42578125" style="2" bestFit="1" customWidth="1"/>
    <col min="14" max="14" width="14.28515625" style="2" bestFit="1" customWidth="1"/>
    <col min="15" max="15" width="13.5703125" style="2" bestFit="1" customWidth="1"/>
    <col min="16" max="17" width="15.42578125" style="2" bestFit="1" customWidth="1"/>
    <col min="18" max="18" width="16.42578125" style="2" bestFit="1" customWidth="1"/>
    <col min="19" max="19" width="13.85546875" style="2" bestFit="1" customWidth="1"/>
    <col min="20" max="20" width="13.140625" style="2" bestFit="1" customWidth="1"/>
    <col min="21" max="22" width="14.85546875" style="2" bestFit="1" customWidth="1"/>
    <col min="23" max="23" width="16" style="2" bestFit="1" customWidth="1"/>
    <col min="24" max="25" width="13.5703125" style="2" bestFit="1" customWidth="1"/>
    <col min="26" max="26" width="15.42578125" style="2" bestFit="1" customWidth="1"/>
    <col min="27" max="27" width="13" style="2" bestFit="1" customWidth="1"/>
    <col min="28" max="28" width="14.140625" style="2" bestFit="1" customWidth="1"/>
    <col min="29" max="29" width="11.7109375" style="2" bestFit="1" customWidth="1"/>
    <col min="30" max="30" width="11.28515625" style="2" bestFit="1" customWidth="1"/>
    <col min="31" max="31" width="11.5703125" style="2" bestFit="1" customWidth="1"/>
    <col min="32" max="32" width="10.7109375" style="2" bestFit="1" customWidth="1"/>
    <col min="33" max="33" width="11" style="2" bestFit="1" customWidth="1"/>
    <col min="34" max="34" width="11.42578125" style="2" bestFit="1" customWidth="1"/>
    <col min="35" max="35" width="11.5703125" style="2" bestFit="1" customWidth="1"/>
    <col min="36" max="36" width="12" style="2" bestFit="1" customWidth="1"/>
    <col min="37" max="37" width="11.42578125" style="2" bestFit="1" customWidth="1"/>
    <col min="38" max="16384" width="9.140625" style="2"/>
  </cols>
  <sheetData>
    <row r="1" spans="1:37" x14ac:dyDescent="0.25">
      <c r="A1" s="21" t="s">
        <v>51</v>
      </c>
      <c r="B1" s="21" t="s">
        <v>274</v>
      </c>
      <c r="C1" s="108"/>
      <c r="D1" s="22" t="s">
        <v>341</v>
      </c>
      <c r="E1" s="22" t="s">
        <v>342</v>
      </c>
      <c r="F1" s="22" t="s">
        <v>343</v>
      </c>
      <c r="G1" s="22" t="s">
        <v>344</v>
      </c>
      <c r="H1" s="39" t="s">
        <v>353</v>
      </c>
      <c r="I1" s="39" t="s">
        <v>354</v>
      </c>
      <c r="J1" s="39" t="s">
        <v>355</v>
      </c>
      <c r="K1" s="40" t="s">
        <v>356</v>
      </c>
      <c r="L1" s="40" t="s">
        <v>357</v>
      </c>
      <c r="M1" s="40" t="s">
        <v>358</v>
      </c>
      <c r="N1" s="40" t="s">
        <v>359</v>
      </c>
      <c r="O1" s="22" t="s">
        <v>345</v>
      </c>
      <c r="P1" s="24" t="s">
        <v>346</v>
      </c>
      <c r="Q1" s="24" t="s">
        <v>347</v>
      </c>
      <c r="R1" s="24" t="s">
        <v>348</v>
      </c>
      <c r="S1" s="24" t="s">
        <v>349</v>
      </c>
      <c r="T1" s="41" t="s">
        <v>371</v>
      </c>
      <c r="U1" s="41" t="s">
        <v>372</v>
      </c>
      <c r="V1" s="41" t="s">
        <v>373</v>
      </c>
      <c r="W1" s="41" t="s">
        <v>374</v>
      </c>
      <c r="X1" s="41" t="s">
        <v>375</v>
      </c>
      <c r="Y1" s="42" t="s">
        <v>376</v>
      </c>
      <c r="Z1" s="42" t="s">
        <v>377</v>
      </c>
      <c r="AA1" s="42" t="s">
        <v>378</v>
      </c>
      <c r="AB1" s="42" t="s">
        <v>379</v>
      </c>
      <c r="AC1" s="42" t="s">
        <v>380</v>
      </c>
      <c r="AD1" s="24" t="s">
        <v>350</v>
      </c>
      <c r="AE1" s="24" t="s">
        <v>351</v>
      </c>
      <c r="AF1" s="24" t="s">
        <v>352</v>
      </c>
      <c r="AG1" s="41" t="s">
        <v>381</v>
      </c>
      <c r="AH1" s="41" t="s">
        <v>382</v>
      </c>
      <c r="AI1" s="42" t="s">
        <v>383</v>
      </c>
      <c r="AJ1" s="42" t="s">
        <v>384</v>
      </c>
      <c r="AK1" s="42" t="s">
        <v>385</v>
      </c>
    </row>
    <row r="2" spans="1:37" x14ac:dyDescent="0.25">
      <c r="A2" s="23" t="s">
        <v>12</v>
      </c>
      <c r="B2" s="24" t="s">
        <v>289</v>
      </c>
      <c r="C2" s="2"/>
      <c r="D2" s="22">
        <f>IFERROR((s_TR/(s_RadSpec!I2*s_EF_iw*s_ED_ind*s_IRS_iw*(1/1000)))*1,".")</f>
        <v>4027.8728803318968</v>
      </c>
      <c r="E2" s="22">
        <f>IFERROR(IF(A2="H-3",(s_TR/(s_RadSpec!G2*s_EF_iw*s_ED_ind*(s_ET_iw_o+s_ET_iw_i)*(1/24)*s_IRA_iw*(1/17)*1000))*1,(s_TR/(s_RadSpec!G2*s_EF_iw*s_ED_ind*(s_ET_iw_o+s_ET_iw_i)*(1/24)*s_IRA_iw*(1/s_PEF_wind)*1000))*1),".")</f>
        <v>15797.913613208446</v>
      </c>
      <c r="F2" s="22">
        <f>IFERROR((s_TR/(s_RadSpec!F2*s_EF_iw*(1/365)*s_ED_ind*s_RadSpec!Q2*(s_ET_iw_o+s_ET_iw_i)*(1/24)*s_RadSpec!AA2))*1,".")</f>
        <v>51280.717010750537</v>
      </c>
      <c r="G2" s="22">
        <f t="shared" ref="G2:G30" si="0">(IF(AND(ISNUMBER(D2),ISNUMBER(E2),ISNUMBER(F2)),1/((1/D2)+(1/E2)+(1/F2)),IF(AND(ISNUMBER(D2),ISNUMBER(E2),NOT(ISNUMBER(F2))), 1/((1/D2)+(1/E2)),IF(AND(ISNUMBER(D2),NOT(ISNUMBER(E2)),ISNUMBER(F2)),1/((1/D2)+(1/F2)),IF(AND(NOT(ISNUMBER(D2)),ISNUMBER(E2),ISNUMBER(F2)),1/((1/E2)+(1/F2)),IF(AND(ISNUMBER(D2),NOT(ISNUMBER(E2)),NOT(ISNUMBER(F2))),1/((1/D2)),IF(AND(NOT(ISNUMBER(D2)),NOT(ISNUMBER(E2)),ISNUMBER(F2)),1/((1/F2)),IF(AND(NOT(ISNUMBER(D2)),ISNUMBER(E2),NOT(ISNUMBER(F2))),1/((1/E2)),IF(AND(NOT(ISNUMBER(D2)),NOT(ISNUMBER(E2)),NOT(ISNUMBER(F2))),".")))))))))</f>
        <v>3020.5092095409709</v>
      </c>
      <c r="H2" s="43">
        <f t="shared" ref="H2:H30" si="1">s_C*s_EF_iw*s_ED_ind*s_IRS_iw*(1/1000)*1</f>
        <v>137.5</v>
      </c>
      <c r="I2" s="43">
        <f t="shared" ref="I2:I30" si="2">s_C*s_EF_iw*s_ED_ind*(s_ET_iw_o+s_ET_iw_i)*(1/24)*s_IRA_iw*(1/s_PEF_wind)*1000*1</f>
        <v>0.11080293013295324</v>
      </c>
      <c r="J2" s="43">
        <f>s_C*s_EF_iw*(1/365)*s_ED_ind*(s_ET_iw_o+s_ET_iw_i)*(1/24)*s_RadSpec!AA2*s_RadSpec!Q2*1</f>
        <v>2.3655684478766474E-2</v>
      </c>
      <c r="K2" s="11"/>
      <c r="L2" s="11"/>
      <c r="M2" s="11"/>
      <c r="N2" s="11"/>
      <c r="O2" s="22">
        <f>IFERROR((s_TR/(s_RadSpec!F2*s_EF_iw*(1/365)*s_ED_ind*s_RadSpec!Q2*(s_ET_iw_o+s_ET_iw_i)*(1/24)*s_RadSpec!AA2))*1,".")</f>
        <v>51280.717010750537</v>
      </c>
      <c r="P2" s="22">
        <f>IFERROR((s_TR/(s_RadSpec!M2*s_EF_iw*(1/365)*s_ED_ind*s_RadSpec!R2*(s_ET_iw_o+s_ET_iw_i)*(1/24)*s_RadSpec!AB2))*1,".")</f>
        <v>370158.53721315187</v>
      </c>
      <c r="Q2" s="22">
        <f>IFERROR((s_TR/(s_RadSpec!N2*s_EF_iw*(1/365)*s_ED_ind*s_RadSpec!S2*(s_ET_iw_o+s_ET_iw_i)*(1/24)*s_RadSpec!AC2))*1,".")</f>
        <v>97106.11825889413</v>
      </c>
      <c r="R2" s="22">
        <f>IFERROR((s_TR/(s_RadSpec!O2*s_EF_iw*(1/365)*s_ED_ind*s_RadSpec!T2*(s_ET_iw_o+s_ET_iw_i)*(1/24)*s_RadSpec!AD2))*1,".")</f>
        <v>60068.20225578206</v>
      </c>
      <c r="S2" s="22">
        <f>IFERROR((s_TR/(s_RadSpec!K2*s_EF_iw*(1/365)*s_ED_ind*s_RadSpec!P2*(s_ET_iw_o+s_ET_iw_i)*(1/24)*s_RadSpec!Z2))*1,".")</f>
        <v>2812015.3399471873</v>
      </c>
      <c r="T2" s="43">
        <f>s_C*s_EF_iw*(1/365)*s_ED_ind*(s_ET_iw_o+s_ET_iw_i)*(1/24)*s_RadSpec!AA2*s_RadSpec!Q2*1</f>
        <v>2.3655684478766474E-2</v>
      </c>
      <c r="U2" s="43">
        <f>s_C*s_EF_iw*(1/365)*s_ED_ind*(s_ET_iw_o+s_ET_iw_i)*(1/24)*s_RadSpec!AB2*s_RadSpec!R2*1</f>
        <v>1.1699521104800093E-2</v>
      </c>
      <c r="V2" s="43">
        <f>s_C*s_EF_iw*(1/365)*s_ED_ind*(s_ET_iw_o+s_ET_iw_i)*(1/24)*s_RadSpec!AC2*s_RadSpec!S2*1</f>
        <v>1.7225734691488127E-2</v>
      </c>
      <c r="W2" s="43">
        <f>s_C*s_EF_iw*(1/365)*s_ED_ind*(s_ET_iw_o+s_ET_iw_i)*(1/24)*s_RadSpec!AD2*s_RadSpec!T2*1</f>
        <v>2.0723410804986925E-2</v>
      </c>
      <c r="X2" s="43">
        <f>s_C*s_EF_iw*(1/365)*s_ED_ind*(s_ET_iw_o+s_ET_iw_i)*(1/24)*s_RadSpec!Z2*s_RadSpec!P2*1</f>
        <v>1.4784594004367678E-3</v>
      </c>
      <c r="Y2" s="11"/>
      <c r="Z2" s="11"/>
      <c r="AA2" s="11"/>
      <c r="AB2" s="11"/>
      <c r="AC2" s="11"/>
      <c r="AD2" s="22">
        <f>IFERROR(s_TR/(s_RadSpec!G2*s_EF_iw*s_ED_ind*(s_ET_iw_o+s_ET_iw_i)*(1/24)*s_IRA_iw),".")</f>
        <v>5.092233071507684E-2</v>
      </c>
      <c r="AE2" s="22">
        <f>IFERROR(s_TR/(s_RadSpec!J2*s_EF_iw*(1/365)*s_ED_ind*(s_ET_iw_o+s_ET_iw_i)*(1/24)*s_GSF_a),".")</f>
        <v>618624.52266937145</v>
      </c>
      <c r="AF2" s="22">
        <f t="shared" ref="AF2" si="3">IFERROR(IF(AND(ISNUMBER(AD2),ISNUMBER(AE2)),1/((1/AD2)+(1/AE2)),IF(AND(ISNUMBER(AD2),NOT(ISNUMBER(AE2))),1/((1/AD2)),IF(AND(NOT(ISNUMBER(AD2)),ISNUMBER(AE2)),1/((1/AE2)),IF(AND(NOT(ISNUMBER(AD2)),NOT(ISNUMBER(AE2))),".")))),".")</f>
        <v>5.0922326523384694E-2</v>
      </c>
      <c r="AG2" s="43">
        <f t="shared" ref="AG2:AG30" si="4">s_C*s_EF_iw*s_ED_ind*(s_ET_iw_o+s_ET_iw_i)*(1/24)*s_IRA_iw*1</f>
        <v>34375</v>
      </c>
      <c r="AH2" s="43">
        <f t="shared" ref="AH2:AH30" si="5">s_C*s_EF_iw*(1/365)*s_ED_ind*(s_ET_iw_o+s_ET_iw_i)*(1/24)*s_GSF_a*1</f>
        <v>1.5696347031963471</v>
      </c>
      <c r="AI2" s="11"/>
      <c r="AJ2" s="11"/>
      <c r="AK2" s="11"/>
    </row>
    <row r="3" spans="1:37" x14ac:dyDescent="0.25">
      <c r="A3" s="25" t="s">
        <v>13</v>
      </c>
      <c r="B3" s="24" t="s">
        <v>275</v>
      </c>
      <c r="C3" s="2"/>
      <c r="D3" s="22">
        <f>IFERROR((s_TR/(s_RadSpec!I3*s_EF_iw*s_ED_ind*s_IRS_iw*(1/1000)))*1,".")</f>
        <v>3995.1259463454585</v>
      </c>
      <c r="E3" s="22">
        <f>IFERROR(IF(A3="H-3",(s_TR/(s_RadSpec!G3*s_EF_iw*s_ED_ind*(s_ET_iw_o+s_ET_iw_i)*(1/24)*s_IRA_iw*(1/17)*1000))*1,(s_TR/(s_RadSpec!G3*s_EF_iw*s_ED_ind*(s_ET_iw_o+s_ET_iw_i)*(1/24)*s_IRA_iw*(1/s_PEF_wind)*1000))*1),".")</f>
        <v>11956.85226411463</v>
      </c>
      <c r="F3" s="22">
        <f>IFERROR((s_TR/(s_RadSpec!F3*s_EF_iw*(1/365)*s_ED_ind*s_RadSpec!Q3*(s_ET_iw_o+s_ET_iw_i)*(1/24)*s_RadSpec!AA3))*1,".")</f>
        <v>10020836.314600777</v>
      </c>
      <c r="G3" s="22">
        <f t="shared" si="0"/>
        <v>2993.6638171186719</v>
      </c>
      <c r="H3" s="43">
        <f t="shared" si="1"/>
        <v>137.5</v>
      </c>
      <c r="I3" s="43">
        <f t="shared" si="2"/>
        <v>0.11080293013295324</v>
      </c>
      <c r="J3" s="43">
        <f>s_C*s_EF_iw*(1/365)*s_ED_ind*(s_ET_iw_o+s_ET_iw_i)*(1/24)*s_RadSpec!AA3*s_RadSpec!Q3*1</f>
        <v>1.8030675564922134E-4</v>
      </c>
      <c r="K3" s="4"/>
      <c r="L3" s="4"/>
      <c r="M3" s="4"/>
      <c r="N3" s="4"/>
      <c r="O3" s="22">
        <f>IFERROR((s_TR/(s_RadSpec!F3*s_EF_iw*(1/365)*s_ED_ind*s_RadSpec!Q3*(s_ET_iw_o+s_ET_iw_i)*(1/24)*s_RadSpec!AA3))*1,".")</f>
        <v>10020836.314600777</v>
      </c>
      <c r="P3" s="22">
        <f>IFERROR((s_TR/(s_RadSpec!M3*s_EF_iw*(1/365)*s_ED_ind*s_RadSpec!R3*(s_ET_iw_o+s_ET_iw_i)*(1/24)*s_RadSpec!AB3))*1,".")</f>
        <v>28268687.455595125</v>
      </c>
      <c r="Q3" s="22">
        <f>IFERROR((s_TR/(s_RadSpec!N3*s_EF_iw*(1/365)*s_ED_ind*s_RadSpec!S3*(s_ET_iw_o+s_ET_iw_i)*(1/24)*s_RadSpec!AC3))*1,".")</f>
        <v>11434123.76097961</v>
      </c>
      <c r="R3" s="22">
        <f>IFERROR((s_TR/(s_RadSpec!O3*s_EF_iw*(1/365)*s_ED_ind*s_RadSpec!T3*(s_ET_iw_o+s_ET_iw_i)*(1/24)*s_RadSpec!AD3))*1,".")</f>
        <v>10980832.857872065</v>
      </c>
      <c r="S3" s="22">
        <f>IFERROR((s_TR/(s_RadSpec!K3*s_EF_iw*(1/365)*s_ED_ind*s_RadSpec!P3*(s_ET_iw_o+s_ET_iw_i)*(1/24)*s_RadSpec!Z3))*1,".")</f>
        <v>32268981.735967364</v>
      </c>
      <c r="T3" s="43">
        <f>s_C*s_EF_iw*(1/365)*s_ED_ind*(s_ET_iw_o+s_ET_iw_i)*(1/24)*s_RadSpec!AA3*s_RadSpec!Q3*1</f>
        <v>1.8030675564922134E-4</v>
      </c>
      <c r="U3" s="43">
        <f>s_C*s_EF_iw*(1/365)*s_ED_ind*(s_ET_iw_o+s_ET_iw_i)*(1/24)*s_RadSpec!AB3*s_RadSpec!R3*1</f>
        <v>1.2859183049616934E-4</v>
      </c>
      <c r="V3" s="43">
        <f>s_C*s_EF_iw*(1/365)*s_ED_ind*(s_ET_iw_o+s_ET_iw_i)*(1/24)*s_RadSpec!AC3*s_RadSpec!S3*1</f>
        <v>1.6961425747972467E-4</v>
      </c>
      <c r="W3" s="43">
        <f>s_C*s_EF_iw*(1/365)*s_ED_ind*(s_ET_iw_o+s_ET_iw_i)*(1/24)*s_RadSpec!AD3*s_RadSpec!T3*1</f>
        <v>1.6454348300933014E-4</v>
      </c>
      <c r="X3" s="43">
        <f>s_C*s_EF_iw*(1/365)*s_ED_ind*(s_ET_iw_o+s_ET_iw_i)*(1/24)*s_RadSpec!Z3*s_RadSpec!P3*1</f>
        <v>8.2939052430454319E-5</v>
      </c>
      <c r="Y3" s="11"/>
      <c r="Z3" s="11"/>
      <c r="AA3" s="11"/>
      <c r="AB3" s="11"/>
      <c r="AC3" s="11"/>
      <c r="AD3" s="22">
        <f>IFERROR(s_TR/(s_RadSpec!G3*s_EF_iw*s_ED_ind*(s_ET_iw_o+s_ET_iw_i)*(1/24)*s_IRA_iw),".")</f>
        <v>3.8541215011803263E-2</v>
      </c>
      <c r="AE3" s="22">
        <f>IFERROR(s_TR/(s_RadSpec!J3*s_EF_iw*(1/365)*s_ED_ind*(s_ET_iw_o+s_ET_iw_i)*(1/24)*s_GSF_a),".")</f>
        <v>548920.35110099148</v>
      </c>
      <c r="AF3" s="22">
        <f>IFERROR(IF(AND(ISNUMBER(AD3),ISNUMBER(AE3)),1/((1/AD3)+(1/AE3)),IF(AND(ISNUMBER(AD3),NOT(ISNUMBER(AE3))),1/((1/AD3)),IF(AND(NOT(ISNUMBER(AD3)),ISNUMBER(AE3)),1/((1/AE3)),IF(AND(NOT(ISNUMBER(AD3)),NOT(ISNUMBER(AE3))),".")))),".")</f>
        <v>3.854121230571822E-2</v>
      </c>
      <c r="AG3" s="43">
        <f t="shared" si="4"/>
        <v>34375</v>
      </c>
      <c r="AH3" s="43">
        <f t="shared" si="5"/>
        <v>1.5696347031963471</v>
      </c>
      <c r="AI3" s="10"/>
      <c r="AJ3" s="10"/>
      <c r="AK3" s="10"/>
    </row>
    <row r="4" spans="1:37" x14ac:dyDescent="0.25">
      <c r="A4" s="23" t="s">
        <v>14</v>
      </c>
      <c r="B4" s="24" t="s">
        <v>289</v>
      </c>
      <c r="C4" s="2"/>
      <c r="D4" s="22" t="str">
        <f>IFERROR((s_TR/(s_RadSpec!I4*s_EF_iw*s_ED_ind*s_IRS_iw*(1/1000)))*1,".")</f>
        <v>.</v>
      </c>
      <c r="E4" s="22" t="str">
        <f>IFERROR(IF(A4="H-3",(s_TR/(s_RadSpec!G4*s_EF_iw*s_ED_ind*(s_ET_iw_o+s_ET_iw_i)*(1/24)*s_IRA_iw*(1/17)*1000))*1,(s_TR/(s_RadSpec!G4*s_EF_iw*s_ED_ind*(s_ET_iw_o+s_ET_iw_i)*(1/24)*s_IRA_iw*(1/s_PEF_wind)*1000))*1),".")</f>
        <v>.</v>
      </c>
      <c r="F4" s="22">
        <f>IFERROR((s_TR/(s_RadSpec!F4*s_EF_iw*(1/365)*s_ED_ind*s_RadSpec!Q4*(s_ET_iw_o+s_ET_iw_i)*(1/24)*s_RadSpec!AA4))*1,".")</f>
        <v>1102390.9563362135</v>
      </c>
      <c r="G4" s="22">
        <f t="shared" si="0"/>
        <v>1102390.9563362135</v>
      </c>
      <c r="H4" s="43">
        <f t="shared" si="1"/>
        <v>137.5</v>
      </c>
      <c r="I4" s="43">
        <f t="shared" si="2"/>
        <v>0.11080293013295324</v>
      </c>
      <c r="J4" s="43">
        <f>s_C*s_EF_iw*(1/365)*s_ED_ind*(s_ET_iw_o+s_ET_iw_i)*(1/24)*s_RadSpec!AA4*s_RadSpec!Q4*1</f>
        <v>4.8434442270058699E-2</v>
      </c>
      <c r="K4" s="4"/>
      <c r="L4" s="4"/>
      <c r="M4" s="4"/>
      <c r="N4" s="4"/>
      <c r="O4" s="22">
        <f>IFERROR((s_TR/(s_RadSpec!F4*s_EF_iw*(1/365)*s_ED_ind*s_RadSpec!Q4*(s_ET_iw_o+s_ET_iw_i)*(1/24)*s_RadSpec!AA4))*1,".")</f>
        <v>1102390.9563362135</v>
      </c>
      <c r="P4" s="22">
        <f>IFERROR((s_TR/(s_RadSpec!M4*s_EF_iw*(1/365)*s_ED_ind*s_RadSpec!R4*(s_ET_iw_o+s_ET_iw_i)*(1/24)*s_RadSpec!AB4))*1,".")</f>
        <v>7773508.8887110436</v>
      </c>
      <c r="Q4" s="22">
        <f>IFERROR((s_TR/(s_RadSpec!N4*s_EF_iw*(1/365)*s_ED_ind*s_RadSpec!S4*(s_ET_iw_o+s_ET_iw_i)*(1/24)*s_RadSpec!AC4))*1,".")</f>
        <v>2027103.7507221773</v>
      </c>
      <c r="R4" s="22">
        <f>IFERROR((s_TR/(s_RadSpec!O4*s_EF_iw*(1/365)*s_ED_ind*s_RadSpec!T4*(s_ET_iw_o+s_ET_iw_i)*(1/24)*s_RadSpec!AD4))*1,".")</f>
        <v>1201420.5340315313</v>
      </c>
      <c r="S4" s="22">
        <f>IFERROR((s_TR/(s_RadSpec!K4*s_EF_iw*(1/365)*s_ED_ind*s_RadSpec!P4*(s_ET_iw_o+s_ET_iw_i)*(1/24)*s_RadSpec!Z4))*1,".")</f>
        <v>14639779.359287301</v>
      </c>
      <c r="T4" s="43">
        <f>s_C*s_EF_iw*(1/365)*s_ED_ind*(s_ET_iw_o+s_ET_iw_i)*(1/24)*s_RadSpec!AA4*s_RadSpec!Q4*1</f>
        <v>4.8434442270058699E-2</v>
      </c>
      <c r="U4" s="43">
        <f>s_C*s_EF_iw*(1/365)*s_ED_ind*(s_ET_iw_o+s_ET_iw_i)*(1/24)*s_RadSpec!AB4*s_RadSpec!R4*1</f>
        <v>2.9680365296803651E-2</v>
      </c>
      <c r="V4" s="43">
        <f>s_C*s_EF_iw*(1/365)*s_ED_ind*(s_ET_iw_o+s_ET_iw_i)*(1/24)*s_RadSpec!AC4*s_RadSpec!S4*1</f>
        <v>4.1258969341161141E-2</v>
      </c>
      <c r="W4" s="43">
        <f>s_C*s_EF_iw*(1/365)*s_ED_ind*(s_ET_iw_o+s_ET_iw_i)*(1/24)*s_RadSpec!AD4*s_RadSpec!T4*1</f>
        <v>4.7397062030410567E-2</v>
      </c>
      <c r="X4" s="43">
        <f>s_C*s_EF_iw*(1/365)*s_ED_ind*(s_ET_iw_o+s_ET_iw_i)*(1/24)*s_RadSpec!Z4*s_RadSpec!P4*1</f>
        <v>1.6071573316041188E-2</v>
      </c>
      <c r="Y4" s="11"/>
      <c r="Z4" s="11"/>
      <c r="AA4" s="11"/>
      <c r="AB4" s="11"/>
      <c r="AC4" s="11"/>
      <c r="AD4" s="22" t="str">
        <f>IFERROR(s_TR/(s_RadSpec!G4*s_EF_iw*s_ED_ind*(s_ET_iw_o+s_ET_iw_i)*(1/24)*s_IRA_iw),".")</f>
        <v>.</v>
      </c>
      <c r="AE4" s="22">
        <f>IFERROR(s_TR/(s_RadSpec!J4*s_EF_iw*(1/365)*s_ED_ind*(s_ET_iw_o+s_ET_iw_i)*(1/24)*s_GSF_a),".")</f>
        <v>32633183.552295782</v>
      </c>
      <c r="AF4" s="22">
        <f t="shared" ref="AF4:AF30" si="6">IFERROR(IF(AND(ISNUMBER(AD4),ISNUMBER(AE4)),1/((1/AD4)+(1/AE4)),IF(AND(ISNUMBER(AD4),NOT(ISNUMBER(AE4))),1/((1/AD4)),IF(AND(NOT(ISNUMBER(AD4)),ISNUMBER(AE4)),1/((1/AE4)),IF(AND(NOT(ISNUMBER(AD4)),NOT(ISNUMBER(AE4))),".")))),".")</f>
        <v>32633183.552295785</v>
      </c>
      <c r="AG4" s="43">
        <f t="shared" si="4"/>
        <v>34375</v>
      </c>
      <c r="AH4" s="43">
        <f t="shared" si="5"/>
        <v>1.5696347031963471</v>
      </c>
      <c r="AI4" s="10"/>
      <c r="AJ4" s="10"/>
      <c r="AK4" s="10"/>
    </row>
    <row r="5" spans="1:37" x14ac:dyDescent="0.25">
      <c r="A5" s="23" t="s">
        <v>15</v>
      </c>
      <c r="B5" s="24" t="s">
        <v>289</v>
      </c>
      <c r="C5" s="109"/>
      <c r="D5" s="22" t="str">
        <f>IFERROR((s_TR/(s_RadSpec!I5*s_EF_iw*s_ED_ind*s_IRS_iw*(1/1000)))*1,".")</f>
        <v>.</v>
      </c>
      <c r="E5" s="22" t="str">
        <f>IFERROR(IF(A5="H-3",(s_TR/(s_RadSpec!G5*s_EF_iw*s_ED_ind*(s_ET_iw_o+s_ET_iw_i)*(1/24)*s_IRA_iw*(1/17)*1000))*1,(s_TR/(s_RadSpec!G5*s_EF_iw*s_ED_ind*(s_ET_iw_o+s_ET_iw_i)*(1/24)*s_IRA_iw*(1/s_PEF_wind)*1000))*1),".")</f>
        <v>.</v>
      </c>
      <c r="F5" s="22" t="str">
        <f>IFERROR((s_TR/(s_RadSpec!F5*s_EF_iw*(1/365)*s_ED_ind*s_RadSpec!Q5*(s_ET_iw_o+s_ET_iw_i)*(1/24)*s_RadSpec!AA5))*1,".")</f>
        <v>.</v>
      </c>
      <c r="G5" s="22" t="str">
        <f t="shared" si="0"/>
        <v>.</v>
      </c>
      <c r="H5" s="43">
        <f t="shared" si="1"/>
        <v>137.5</v>
      </c>
      <c r="I5" s="43">
        <f t="shared" si="2"/>
        <v>0.11080293013295324</v>
      </c>
      <c r="J5" s="43">
        <f>s_C*s_EF_iw*(1/365)*s_ED_ind*(s_ET_iw_o+s_ET_iw_i)*(1/24)*s_RadSpec!AA5*s_RadSpec!Q5*1</f>
        <v>0</v>
      </c>
      <c r="K5" s="4"/>
      <c r="L5" s="4"/>
      <c r="M5" s="4"/>
      <c r="N5" s="4"/>
      <c r="O5" s="22" t="str">
        <f>IFERROR((s_TR/(s_RadSpec!F5*s_EF_iw*(1/365)*s_ED_ind*s_RadSpec!Q5*(s_ET_iw_o+s_ET_iw_i)*(1/24)*s_RadSpec!AA5))*1,".")</f>
        <v>.</v>
      </c>
      <c r="P5" s="22" t="str">
        <f>IFERROR((s_TR/(s_RadSpec!M5*s_EF_iw*(1/365)*s_ED_ind*s_RadSpec!R5*(s_ET_iw_o+s_ET_iw_i)*(1/24)*s_RadSpec!AB5))*1,".")</f>
        <v>.</v>
      </c>
      <c r="Q5" s="22" t="str">
        <f>IFERROR((s_TR/(s_RadSpec!N5*s_EF_iw*(1/365)*s_ED_ind*s_RadSpec!S5*(s_ET_iw_o+s_ET_iw_i)*(1/24)*s_RadSpec!AC5))*1,".")</f>
        <v>.</v>
      </c>
      <c r="R5" s="22" t="str">
        <f>IFERROR((s_TR/(s_RadSpec!O5*s_EF_iw*(1/365)*s_ED_ind*s_RadSpec!T5*(s_ET_iw_o+s_ET_iw_i)*(1/24)*s_RadSpec!AD5))*1,".")</f>
        <v>.</v>
      </c>
      <c r="S5" s="22" t="str">
        <f>IFERROR((s_TR/(s_RadSpec!K5*s_EF_iw*(1/365)*s_ED_ind*s_RadSpec!P5*(s_ET_iw_o+s_ET_iw_i)*(1/24)*s_RadSpec!Z5))*1,".")</f>
        <v>.</v>
      </c>
      <c r="T5" s="43">
        <f>s_C*s_EF_iw*(1/365)*s_ED_ind*(s_ET_iw_o+s_ET_iw_i)*(1/24)*s_RadSpec!AA5*s_RadSpec!Q5*1</f>
        <v>0</v>
      </c>
      <c r="U5" s="43">
        <f>s_C*s_EF_iw*(1/365)*s_ED_ind*(s_ET_iw_o+s_ET_iw_i)*(1/24)*s_RadSpec!AB5*s_RadSpec!R5*1</f>
        <v>0</v>
      </c>
      <c r="V5" s="43">
        <f>s_C*s_EF_iw*(1/365)*s_ED_ind*(s_ET_iw_o+s_ET_iw_i)*(1/24)*s_RadSpec!AC5*s_RadSpec!S5*1</f>
        <v>0</v>
      </c>
      <c r="W5" s="43">
        <f>s_C*s_EF_iw*(1/365)*s_ED_ind*(s_ET_iw_o+s_ET_iw_i)*(1/24)*s_RadSpec!AD5*s_RadSpec!T5*1</f>
        <v>0</v>
      </c>
      <c r="X5" s="43">
        <f>s_C*s_EF_iw*(1/365)*s_ED_ind*(s_ET_iw_o+s_ET_iw_i)*(1/24)*s_RadSpec!Z5*s_RadSpec!P5*1</f>
        <v>0</v>
      </c>
      <c r="Y5" s="11"/>
      <c r="Z5" s="11"/>
      <c r="AA5" s="11"/>
      <c r="AB5" s="11"/>
      <c r="AC5" s="11"/>
      <c r="AD5" s="22" t="str">
        <f>IFERROR(s_TR/(s_RadSpec!G5*s_EF_iw*s_ED_ind*(s_ET_iw_o+s_ET_iw_i)*(1/24)*s_IRA_iw),".")</f>
        <v>.</v>
      </c>
      <c r="AE5" s="22">
        <f>IFERROR(s_TR/(s_RadSpec!J5*s_EF_iw*(1/365)*s_ED_ind*(s_ET_iw_o+s_ET_iw_i)*(1/24)*s_GSF_a),".")</f>
        <v>1033384145.8226998</v>
      </c>
      <c r="AF5" s="22">
        <f t="shared" si="6"/>
        <v>1033384145.8226997</v>
      </c>
      <c r="AG5" s="43">
        <f t="shared" si="4"/>
        <v>34375</v>
      </c>
      <c r="AH5" s="43">
        <f t="shared" si="5"/>
        <v>1.5696347031963471</v>
      </c>
      <c r="AI5" s="10"/>
      <c r="AJ5" s="10"/>
      <c r="AK5" s="10"/>
    </row>
    <row r="6" spans="1:37" x14ac:dyDescent="0.25">
      <c r="A6" s="23" t="s">
        <v>16</v>
      </c>
      <c r="B6" s="24" t="s">
        <v>289</v>
      </c>
      <c r="C6" s="2"/>
      <c r="D6" s="22" t="str">
        <f>IFERROR((s_TR/(s_RadSpec!I6*s_EF_iw*s_ED_ind*s_IRS_iw*(1/1000)))*1,".")</f>
        <v>.</v>
      </c>
      <c r="E6" s="22" t="str">
        <f>IFERROR(IF(A6="H-3",(s_TR/(s_RadSpec!G6*s_EF_iw*s_ED_ind*(s_ET_iw_o+s_ET_iw_i)*(1/24)*s_IRA_iw*(1/17)*1000))*1,(s_TR/(s_RadSpec!G6*s_EF_iw*s_ED_ind*(s_ET_iw_o+s_ET_iw_i)*(1/24)*s_IRA_iw*(1/s_PEF_wind)*1000))*1),".")</f>
        <v>.</v>
      </c>
      <c r="F6" s="22">
        <f>IFERROR((s_TR/(s_RadSpec!F6*s_EF_iw*(1/365)*s_ED_ind*s_RadSpec!Q6*(s_ET_iw_o+s_ET_iw_i)*(1/24)*s_RadSpec!AA6))*1,".")</f>
        <v>197.5698714330382</v>
      </c>
      <c r="G6" s="22">
        <f t="shared" si="0"/>
        <v>197.5698714330382</v>
      </c>
      <c r="H6" s="43">
        <f t="shared" si="1"/>
        <v>137.5</v>
      </c>
      <c r="I6" s="43">
        <f t="shared" si="2"/>
        <v>0.11080293013295324</v>
      </c>
      <c r="J6" s="43">
        <f>s_C*s_EF_iw*(1/365)*s_ED_ind*(s_ET_iw_o+s_ET_iw_i)*(1/24)*s_RadSpec!AA6*s_RadSpec!Q6*1</f>
        <v>9.4235764880520254E-2</v>
      </c>
      <c r="K6" s="4"/>
      <c r="L6" s="4"/>
      <c r="M6" s="4"/>
      <c r="N6" s="4"/>
      <c r="O6" s="22">
        <f>IFERROR((s_TR/(s_RadSpec!F6*s_EF_iw*(1/365)*s_ED_ind*s_RadSpec!Q6*(s_ET_iw_o+s_ET_iw_i)*(1/24)*s_RadSpec!AA6))*1,".")</f>
        <v>197.5698714330382</v>
      </c>
      <c r="P6" s="22">
        <f>IFERROR((s_TR/(s_RadSpec!M6*s_EF_iw*(1/365)*s_ED_ind*s_RadSpec!R6*(s_ET_iw_o+s_ET_iw_i)*(1/24)*s_RadSpec!AB6))*1,".")</f>
        <v>1809.5334571076808</v>
      </c>
      <c r="Q6" s="22">
        <f>IFERROR((s_TR/(s_RadSpec!N6*s_EF_iw*(1/365)*s_ED_ind*s_RadSpec!S6*(s_ET_iw_o+s_ET_iw_i)*(1/24)*s_RadSpec!AC6))*1,".")</f>
        <v>453.45512757018327</v>
      </c>
      <c r="R6" s="22">
        <f>IFERROR((s_TR/(s_RadSpec!O6*s_EF_iw*(1/365)*s_ED_ind*s_RadSpec!T6*(s_ET_iw_o+s_ET_iw_i)*(1/24)*s_RadSpec!AD6))*1,".")</f>
        <v>241.82309211867235</v>
      </c>
      <c r="S6" s="22">
        <f>IFERROR((s_TR/(s_RadSpec!K6*s_EF_iw*(1/365)*s_ED_ind*s_RadSpec!P6*(s_ET_iw_o+s_ET_iw_i)*(1/24)*s_RadSpec!Z6))*1,".")</f>
        <v>3104.4691890470863</v>
      </c>
      <c r="T6" s="43">
        <f>s_C*s_EF_iw*(1/365)*s_ED_ind*(s_ET_iw_o+s_ET_iw_i)*(1/24)*s_RadSpec!AA6*s_RadSpec!Q6*1</f>
        <v>9.4235764880520254E-2</v>
      </c>
      <c r="U6" s="43">
        <f>s_C*s_EF_iw*(1/365)*s_ED_ind*(s_ET_iw_o+s_ET_iw_i)*(1/24)*s_RadSpec!AB6*s_RadSpec!R6*1</f>
        <v>5.0478924446490936E-2</v>
      </c>
      <c r="V6" s="43">
        <f>s_C*s_EF_iw*(1/365)*s_ED_ind*(s_ET_iw_o+s_ET_iw_i)*(1/24)*s_RadSpec!AC6*s_RadSpec!S6*1</f>
        <v>7.1432942616391285E-2</v>
      </c>
      <c r="W6" s="43">
        <f>s_C*s_EF_iw*(1/365)*s_ED_ind*(s_ET_iw_o+s_ET_iw_i)*(1/24)*s_RadSpec!AD6*s_RadSpec!T6*1</f>
        <v>8.6379897042142967E-2</v>
      </c>
      <c r="X6" s="43">
        <f>s_C*s_EF_iw*(1/365)*s_ED_ind*(s_ET_iw_o+s_ET_iw_i)*(1/24)*s_RadSpec!Z6*s_RadSpec!P6*1</f>
        <v>3.0051369863013693E-2</v>
      </c>
      <c r="Y6" s="11"/>
      <c r="Z6" s="11"/>
      <c r="AA6" s="11"/>
      <c r="AB6" s="11"/>
      <c r="AC6" s="11"/>
      <c r="AD6" s="22" t="str">
        <f>IFERROR(s_TR/(s_RadSpec!G6*s_EF_iw*s_ED_ind*(s_ET_iw_o+s_ET_iw_i)*(1/24)*s_IRA_iw),".")</f>
        <v>.</v>
      </c>
      <c r="AE6" s="22">
        <f>IFERROR(s_TR/(s_RadSpec!J6*s_EF_iw*(1/365)*s_ED_ind*(s_ET_iw_o+s_ET_iw_i)*(1/24)*s_GSF_a),".")</f>
        <v>12630.250671166332</v>
      </c>
      <c r="AF6" s="22">
        <f t="shared" si="6"/>
        <v>12630.250671166332</v>
      </c>
      <c r="AG6" s="43">
        <f t="shared" si="4"/>
        <v>34375</v>
      </c>
      <c r="AH6" s="43">
        <f t="shared" si="5"/>
        <v>1.5696347031963471</v>
      </c>
      <c r="AI6" s="10"/>
      <c r="AJ6" s="10"/>
      <c r="AK6" s="10"/>
    </row>
    <row r="7" spans="1:37" x14ac:dyDescent="0.25">
      <c r="A7" s="23" t="s">
        <v>17</v>
      </c>
      <c r="B7" s="24" t="s">
        <v>289</v>
      </c>
      <c r="C7" s="109"/>
      <c r="D7" s="22">
        <f>IFERROR((s_TR/(s_RadSpec!I7*s_EF_iw*s_ED_ind*s_IRS_iw*(1/1000)))*1,".")</f>
        <v>97307.028000097314</v>
      </c>
      <c r="E7" s="22">
        <f>IFERROR(IF(A7="H-3",(s_TR/(s_RadSpec!G7*s_EF_iw*s_ED_ind*(s_ET_iw_o+s_ET_iw_i)*(1/24)*s_IRA_iw*(1/17)*1000))*1,(s_TR/(s_RadSpec!G7*s_EF_iw*s_ED_ind*(s_ET_iw_o+s_ET_iw_i)*(1/24)*s_IRA_iw*(1/s_PEF_wind)*1000))*1),".")</f>
        <v>991543.84629243263</v>
      </c>
      <c r="F7" s="22">
        <f>IFERROR((s_TR/(s_RadSpec!F7*s_EF_iw*(1/365)*s_ED_ind*s_RadSpec!Q7*(s_ET_iw_o+s_ET_iw_i)*(1/24)*s_RadSpec!AA7))*1,".")</f>
        <v>414862.24832298153</v>
      </c>
      <c r="G7" s="22">
        <f t="shared" si="0"/>
        <v>73015.527806688609</v>
      </c>
      <c r="H7" s="43">
        <f t="shared" si="1"/>
        <v>137.5</v>
      </c>
      <c r="I7" s="43">
        <f t="shared" si="2"/>
        <v>0.11080293013295324</v>
      </c>
      <c r="J7" s="43">
        <f>s_C*s_EF_iw*(1/365)*s_ED_ind*(s_ET_iw_o+s_ET_iw_i)*(1/24)*s_RadSpec!AA7*s_RadSpec!Q7*1</f>
        <v>4.355239581527081E-2</v>
      </c>
      <c r="K7" s="4"/>
      <c r="L7" s="4"/>
      <c r="M7" s="4"/>
      <c r="N7" s="4"/>
      <c r="O7" s="22">
        <f>IFERROR((s_TR/(s_RadSpec!F7*s_EF_iw*(1/365)*s_ED_ind*s_RadSpec!Q7*(s_ET_iw_o+s_ET_iw_i)*(1/24)*s_RadSpec!AA7))*1,".")</f>
        <v>414862.24832298153</v>
      </c>
      <c r="P7" s="22">
        <f>IFERROR((s_TR/(s_RadSpec!M7*s_EF_iw*(1/365)*s_ED_ind*s_RadSpec!R7*(s_ET_iw_o+s_ET_iw_i)*(1/24)*s_RadSpec!AB7))*1,".")</f>
        <v>1913145.2505623538</v>
      </c>
      <c r="Q7" s="22">
        <f>IFERROR((s_TR/(s_RadSpec!N7*s_EF_iw*(1/365)*s_ED_ind*s_RadSpec!S7*(s_ET_iw_o+s_ET_iw_i)*(1/24)*s_RadSpec!AC7))*1,".")</f>
        <v>651118.27467156947</v>
      </c>
      <c r="R7" s="22">
        <f>IFERROR((s_TR/(s_RadSpec!O7*s_EF_iw*(1/365)*s_ED_ind*s_RadSpec!T7*(s_ET_iw_o+s_ET_iw_i)*(1/24)*s_RadSpec!AD7))*1,".")</f>
        <v>458338.58587608667</v>
      </c>
      <c r="S7" s="22">
        <f>IFERROR((s_TR/(s_RadSpec!K7*s_EF_iw*(1/365)*s_ED_ind*s_RadSpec!P7*(s_ET_iw_o+s_ET_iw_i)*(1/24)*s_RadSpec!Z7))*1,".")</f>
        <v>648138.56990222598</v>
      </c>
      <c r="T7" s="43">
        <f>s_C*s_EF_iw*(1/365)*s_ED_ind*(s_ET_iw_o+s_ET_iw_i)*(1/24)*s_RadSpec!AA7*s_RadSpec!Q7*1</f>
        <v>4.355239581527081E-2</v>
      </c>
      <c r="U7" s="43">
        <f>s_C*s_EF_iw*(1/365)*s_ED_ind*(s_ET_iw_o+s_ET_iw_i)*(1/24)*s_RadSpec!AB7*s_RadSpec!R7*1</f>
        <v>2.7376346334832154E-2</v>
      </c>
      <c r="V7" s="43">
        <f>s_C*s_EF_iw*(1/365)*s_ED_ind*(s_ET_iw_o+s_ET_iw_i)*(1/24)*s_RadSpec!AC7*s_RadSpec!S7*1</f>
        <v>3.7367303609341825E-2</v>
      </c>
      <c r="W7" s="43">
        <f>s_C*s_EF_iw*(1/365)*s_ED_ind*(s_ET_iw_o+s_ET_iw_i)*(1/24)*s_RadSpec!AD7*s_RadSpec!T7*1</f>
        <v>4.0620948193246541E-2</v>
      </c>
      <c r="X7" s="43">
        <f>s_C*s_EF_iw*(1/365)*s_ED_ind*(s_ET_iw_o+s_ET_iw_i)*(1/24)*s_RadSpec!Z7*s_RadSpec!P7*1</f>
        <v>1.5997289159972901E-2</v>
      </c>
      <c r="Y7" s="11"/>
      <c r="Z7" s="11"/>
      <c r="AA7" s="11"/>
      <c r="AB7" s="11"/>
      <c r="AC7" s="11"/>
      <c r="AD7" s="22">
        <f>IFERROR(s_TR/(s_RadSpec!G7*s_EF_iw*s_ED_ind*(s_ET_iw_o+s_ET_iw_i)*(1/24)*s_IRA_iw),".")</f>
        <v>3.1961007570763673</v>
      </c>
      <c r="AE7" s="22">
        <f>IFERROR(s_TR/(s_RadSpec!J7*s_EF_iw*(1/365)*s_ED_ind*(s_ET_iw_o+s_ET_iw_i)*(1/24)*s_GSF_a),".")</f>
        <v>6022371.1809534831</v>
      </c>
      <c r="AF7" s="22">
        <f t="shared" si="6"/>
        <v>3.1960990608915387</v>
      </c>
      <c r="AG7" s="43">
        <f t="shared" si="4"/>
        <v>34375</v>
      </c>
      <c r="AH7" s="43">
        <f t="shared" si="5"/>
        <v>1.5696347031963471</v>
      </c>
      <c r="AI7" s="10"/>
      <c r="AJ7" s="10"/>
      <c r="AK7" s="10"/>
    </row>
    <row r="8" spans="1:37" x14ac:dyDescent="0.25">
      <c r="A8" s="23" t="s">
        <v>18</v>
      </c>
      <c r="B8" s="24" t="s">
        <v>289</v>
      </c>
      <c r="C8" s="2"/>
      <c r="D8" s="22">
        <f>IFERROR((s_TR/(s_RadSpec!I8*s_EF_iw*s_ED_ind*s_IRS_iw*(1/1000)))*1,".")</f>
        <v>1146792.2786475879</v>
      </c>
      <c r="E8" s="22">
        <f>IFERROR(IF(A8="H-3",(s_TR/(s_RadSpec!G8*s_EF_iw*s_ED_ind*(s_ET_iw_o+s_ET_iw_i)*(1/24)*s_IRA_iw*(1/17)*1000))*1,(s_TR/(s_RadSpec!G8*s_EF_iw*s_ED_ind*(s_ET_iw_o+s_ET_iw_i)*(1/24)*s_IRA_iw*(1/s_PEF_wind)*1000))*1),".")</f>
        <v>6097994.6546984613</v>
      </c>
      <c r="F8" s="22">
        <f>IFERROR((s_TR/(s_RadSpec!F8*s_EF_iw*(1/365)*s_ED_ind*s_RadSpec!Q8*(s_ET_iw_o+s_ET_iw_i)*(1/24)*s_RadSpec!AA8))*1,".")</f>
        <v>1215.5293820049581</v>
      </c>
      <c r="G8" s="22">
        <f t="shared" si="0"/>
        <v>1214.0006259511144</v>
      </c>
      <c r="H8" s="43">
        <f t="shared" si="1"/>
        <v>137.5</v>
      </c>
      <c r="I8" s="43">
        <f t="shared" si="2"/>
        <v>0.11080293013295324</v>
      </c>
      <c r="J8" s="43">
        <f>s_C*s_EF_iw*(1/365)*s_ED_ind*(s_ET_iw_o+s_ET_iw_i)*(1/24)*s_RadSpec!AA8*s_RadSpec!Q8*1</f>
        <v>7.5761035007610333E-2</v>
      </c>
      <c r="K8" s="4"/>
      <c r="L8" s="4"/>
      <c r="M8" s="4"/>
      <c r="N8" s="4"/>
      <c r="O8" s="22">
        <f>IFERROR((s_TR/(s_RadSpec!F8*s_EF_iw*(1/365)*s_ED_ind*s_RadSpec!Q8*(s_ET_iw_o+s_ET_iw_i)*(1/24)*s_RadSpec!AA8))*1,".")</f>
        <v>1215.5293820049581</v>
      </c>
      <c r="P8" s="22">
        <f>IFERROR((s_TR/(s_RadSpec!M8*s_EF_iw*(1/365)*s_ED_ind*s_RadSpec!R8*(s_ET_iw_o+s_ET_iw_i)*(1/24)*s_RadSpec!AB8))*1,".")</f>
        <v>10293.416404710315</v>
      </c>
      <c r="Q8" s="22">
        <f>IFERROR((s_TR/(s_RadSpec!N8*s_EF_iw*(1/365)*s_ED_ind*s_RadSpec!S8*(s_ET_iw_o+s_ET_iw_i)*(1/24)*s_RadSpec!AC8))*1,".")</f>
        <v>2689.3969927670801</v>
      </c>
      <c r="R8" s="22">
        <f>IFERROR((s_TR/(s_RadSpec!O8*s_EF_iw*(1/365)*s_ED_ind*s_RadSpec!T8*(s_ET_iw_o+s_ET_iw_i)*(1/24)*s_RadSpec!AD8))*1,".")</f>
        <v>1629.9434476698734</v>
      </c>
      <c r="S8" s="22">
        <f>IFERROR((s_TR/(s_RadSpec!K8*s_EF_iw*(1/365)*s_ED_ind*s_RadSpec!P8*(s_ET_iw_o+s_ET_iw_i)*(1/24)*s_RadSpec!Z8))*1,".")</f>
        <v>18665.151835671626</v>
      </c>
      <c r="T8" s="43">
        <f>s_C*s_EF_iw*(1/365)*s_ED_ind*(s_ET_iw_o+s_ET_iw_i)*(1/24)*s_RadSpec!AA8*s_RadSpec!Q8*1</f>
        <v>7.5761035007610333E-2</v>
      </c>
      <c r="U8" s="43">
        <f>s_C*s_EF_iw*(1/365)*s_ED_ind*(s_ET_iw_o+s_ET_iw_i)*(1/24)*s_RadSpec!AB8*s_RadSpec!R8*1</f>
        <v>4.1270928462709293E-2</v>
      </c>
      <c r="V8" s="43">
        <f>s_C*s_EF_iw*(1/365)*s_ED_ind*(s_ET_iw_o+s_ET_iw_i)*(1/24)*s_RadSpec!AC8*s_RadSpec!S8*1</f>
        <v>5.6542726679712982E-2</v>
      </c>
      <c r="W8" s="43">
        <f>s_C*s_EF_iw*(1/365)*s_ED_ind*(s_ET_iw_o+s_ET_iw_i)*(1/24)*s_RadSpec!AD8*s_RadSpec!T8*1</f>
        <v>6.1671168563894783E-2</v>
      </c>
      <c r="X8" s="43">
        <f>s_C*s_EF_iw*(1/365)*s_ED_ind*(s_ET_iw_o+s_ET_iw_i)*(1/24)*s_RadSpec!Z8*s_RadSpec!P8*1</f>
        <v>2.2273863883452927E-2</v>
      </c>
      <c r="Y8" s="11"/>
      <c r="Z8" s="11"/>
      <c r="AA8" s="11"/>
      <c r="AB8" s="11"/>
      <c r="AC8" s="11"/>
      <c r="AD8" s="22">
        <f>IFERROR(s_TR/(s_RadSpec!G8*s_EF_iw*s_ED_ind*(s_ET_iw_o+s_ET_iw_i)*(1/24)*s_IRA_iw),".")</f>
        <v>19.656019656019662</v>
      </c>
      <c r="AE8" s="22">
        <f>IFERROR(s_TR/(s_RadSpec!J8*s_EF_iw*(1/365)*s_ED_ind*(s_ET_iw_o+s_ET_iw_i)*(1/24)*s_GSF_a),".")</f>
        <v>59827.503179208943</v>
      </c>
      <c r="AF8" s="22">
        <f t="shared" si="6"/>
        <v>19.649563892473161</v>
      </c>
      <c r="AG8" s="43">
        <f t="shared" si="4"/>
        <v>34375</v>
      </c>
      <c r="AH8" s="43">
        <f t="shared" si="5"/>
        <v>1.5696347031963471</v>
      </c>
      <c r="AI8" s="10"/>
      <c r="AJ8" s="10"/>
      <c r="AK8" s="10"/>
    </row>
    <row r="9" spans="1:37" x14ac:dyDescent="0.25">
      <c r="A9" s="23" t="s">
        <v>19</v>
      </c>
      <c r="B9" s="24" t="s">
        <v>289</v>
      </c>
      <c r="C9" s="109"/>
      <c r="D9" s="22">
        <f>IFERROR((s_TR/(s_RadSpec!I9*s_EF_iw*s_ED_ind*s_IRS_iw*(1/1000)))*1,".")</f>
        <v>2469349.2030175449</v>
      </c>
      <c r="E9" s="22">
        <f>IFERROR(IF(A9="H-3",(s_TR/(s_RadSpec!G9*s_EF_iw*s_ED_ind*(s_ET_iw_o+s_ET_iw_i)*(1/24)*s_IRA_iw*(1/17)*1000))*1,(s_TR/(s_RadSpec!G9*s_EF_iw*s_ED_ind*(s_ET_iw_o+s_ET_iw_i)*(1/24)*s_IRA_iw*(1/s_PEF_wind)*1000))*1),".")</f>
        <v>7301805.8972117472</v>
      </c>
      <c r="F9" s="22">
        <f>IFERROR((s_TR/(s_RadSpec!F9*s_EF_iw*(1/365)*s_ED_ind*s_RadSpec!Q9*(s_ET_iw_o+s_ET_iw_i)*(1/24)*s_RadSpec!AA9))*1,".")</f>
        <v>44.255113465552235</v>
      </c>
      <c r="G9" s="22">
        <f t="shared" si="0"/>
        <v>44.254052137569836</v>
      </c>
      <c r="H9" s="43">
        <f t="shared" si="1"/>
        <v>137.5</v>
      </c>
      <c r="I9" s="43">
        <f t="shared" si="2"/>
        <v>0.11080293013295324</v>
      </c>
      <c r="J9" s="43">
        <f>s_C*s_EF_iw*(1/365)*s_ED_ind*(s_ET_iw_o+s_ET_iw_i)*(1/24)*s_RadSpec!AA9*s_RadSpec!Q9*1</f>
        <v>0.15383324779913946</v>
      </c>
      <c r="K9" s="4"/>
      <c r="L9" s="4"/>
      <c r="M9" s="4"/>
      <c r="N9" s="4"/>
      <c r="O9" s="22">
        <f>IFERROR((s_TR/(s_RadSpec!F9*s_EF_iw*(1/365)*s_ED_ind*s_RadSpec!Q9*(s_ET_iw_o+s_ET_iw_i)*(1/24)*s_RadSpec!AA9))*1,".")</f>
        <v>44.255113465552235</v>
      </c>
      <c r="P9" s="22">
        <f>IFERROR((s_TR/(s_RadSpec!M9*s_EF_iw*(1/365)*s_ED_ind*s_RadSpec!R9*(s_ET_iw_o+s_ET_iw_i)*(1/24)*s_RadSpec!AB9))*1,".")</f>
        <v>501.88152218584315</v>
      </c>
      <c r="Q9" s="22">
        <f>IFERROR((s_TR/(s_RadSpec!N9*s_EF_iw*(1/365)*s_ED_ind*s_RadSpec!S9*(s_ET_iw_o+s_ET_iw_i)*(1/24)*s_RadSpec!AC9))*1,".")</f>
        <v>122.90436206918353</v>
      </c>
      <c r="R9" s="22">
        <f>IFERROR((s_TR/(s_RadSpec!O9*s_EF_iw*(1/365)*s_ED_ind*s_RadSpec!T9*(s_ET_iw_o+s_ET_iw_i)*(1/24)*s_RadSpec!AD9))*1,".")</f>
        <v>62.867476551951306</v>
      </c>
      <c r="S9" s="22">
        <f>IFERROR((s_TR/(s_RadSpec!K9*s_EF_iw*(1/365)*s_ED_ind*s_RadSpec!P9*(s_ET_iw_o+s_ET_iw_i)*(1/24)*s_RadSpec!Z9))*1,".")</f>
        <v>918.06608837986357</v>
      </c>
      <c r="T9" s="43">
        <f>s_C*s_EF_iw*(1/365)*s_ED_ind*(s_ET_iw_o+s_ET_iw_i)*(1/24)*s_RadSpec!AA9*s_RadSpec!Q9*1</f>
        <v>0.15383324779913946</v>
      </c>
      <c r="U9" s="43">
        <f>s_C*s_EF_iw*(1/365)*s_ED_ind*(s_ET_iw_o+s_ET_iw_i)*(1/24)*s_RadSpec!AB9*s_RadSpec!R9*1</f>
        <v>7.5107754022105552E-2</v>
      </c>
      <c r="V9" s="43">
        <f>s_C*s_EF_iw*(1/365)*s_ED_ind*(s_ET_iw_o+s_ET_iw_i)*(1/24)*s_RadSpec!AC9*s_RadSpec!S9*1</f>
        <v>0.10674483399117708</v>
      </c>
      <c r="W9" s="43">
        <f>s_C*s_EF_iw*(1/365)*s_ED_ind*(s_ET_iw_o+s_ET_iw_i)*(1/24)*s_RadSpec!AD9*s_RadSpec!T9*1</f>
        <v>0.12949486301369867</v>
      </c>
      <c r="X9" s="43">
        <f>s_C*s_EF_iw*(1/365)*s_ED_ind*(s_ET_iw_o+s_ET_iw_i)*(1/24)*s_RadSpec!Z9*s_RadSpec!P9*1</f>
        <v>4.2403107250250573E-2</v>
      </c>
      <c r="Y9" s="11"/>
      <c r="Z9" s="11"/>
      <c r="AA9" s="11"/>
      <c r="AB9" s="11"/>
      <c r="AC9" s="11"/>
      <c r="AD9" s="22">
        <f>IFERROR(s_TR/(s_RadSpec!G9*s_EF_iw*s_ED_ind*(s_ET_iw_o+s_ET_iw_i)*(1/24)*s_IRA_iw),".")</f>
        <v>23.536334215945867</v>
      </c>
      <c r="AE9" s="22">
        <f>IFERROR(s_TR/(s_RadSpec!J9*s_EF_iw*(1/365)*s_ED_ind*(s_ET_iw_o+s_ET_iw_i)*(1/24)*s_GSF_a),".")</f>
        <v>4761.1416142616554</v>
      </c>
      <c r="AF9" s="22">
        <f t="shared" si="6"/>
        <v>23.420556511722125</v>
      </c>
      <c r="AG9" s="43">
        <f t="shared" si="4"/>
        <v>34375</v>
      </c>
      <c r="AH9" s="43">
        <f t="shared" si="5"/>
        <v>1.5696347031963471</v>
      </c>
      <c r="AI9" s="10"/>
      <c r="AJ9" s="10"/>
      <c r="AK9" s="10"/>
    </row>
    <row r="10" spans="1:37" x14ac:dyDescent="0.25">
      <c r="A10" s="25" t="s">
        <v>20</v>
      </c>
      <c r="B10" s="24" t="s">
        <v>275</v>
      </c>
      <c r="C10" s="2"/>
      <c r="D10" s="22">
        <f>IFERROR((s_TR/(s_RadSpec!I10*s_EF_iw*s_ED_ind*s_IRS_iw*(1/1000)))*1,".")</f>
        <v>11441.222151350206</v>
      </c>
      <c r="E10" s="22">
        <f>IFERROR(IF(A10="H-3",(s_TR/(s_RadSpec!G10*s_EF_iw*s_ED_ind*(s_ET_iw_o+s_ET_iw_i)*(1/24)*s_IRA_iw*(1/17)*1000))*1,(s_TR/(s_RadSpec!G10*s_EF_iw*s_ED_ind*(s_ET_iw_o+s_ET_iw_i)*(1/24)*s_IRA_iw*(1/s_PEF_wind)*1000))*1),".")</f>
        <v>4011838.5886174073</v>
      </c>
      <c r="F10" s="22">
        <f>IFERROR((s_TR/(s_RadSpec!F10*s_EF_iw*(1/365)*s_ED_ind*s_RadSpec!Q10*(s_ET_iw_o+s_ET_iw_i)*(1/24)*s_RadSpec!AA10))*1,".")</f>
        <v>1126079.7336539719</v>
      </c>
      <c r="G10" s="22">
        <f t="shared" si="0"/>
        <v>11294.26023358452</v>
      </c>
      <c r="H10" s="43">
        <f t="shared" si="1"/>
        <v>137.5</v>
      </c>
      <c r="I10" s="43">
        <f t="shared" si="2"/>
        <v>0.11080293013295324</v>
      </c>
      <c r="J10" s="43">
        <f>s_C*s_EF_iw*(1/365)*s_ED_ind*(s_ET_iw_o+s_ET_iw_i)*(1/24)*s_RadSpec!AA10*s_RadSpec!Q10*1</f>
        <v>8.0395923822251927E-2</v>
      </c>
      <c r="K10" s="4"/>
      <c r="L10" s="4"/>
      <c r="M10" s="4"/>
      <c r="N10" s="4"/>
      <c r="O10" s="22">
        <f>IFERROR((s_TR/(s_RadSpec!F10*s_EF_iw*(1/365)*s_ED_ind*s_RadSpec!Q10*(s_ET_iw_o+s_ET_iw_i)*(1/24)*s_RadSpec!AA10))*1,".")</f>
        <v>1126079.7336539719</v>
      </c>
      <c r="P10" s="22">
        <f>IFERROR((s_TR/(s_RadSpec!M10*s_EF_iw*(1/365)*s_ED_ind*s_RadSpec!R10*(s_ET_iw_o+s_ET_iw_i)*(1/24)*s_RadSpec!AB10))*1,".")</f>
        <v>5036334.3522334527</v>
      </c>
      <c r="Q10" s="22">
        <f>IFERROR((s_TR/(s_RadSpec!N10*s_EF_iw*(1/365)*s_ED_ind*s_RadSpec!S10*(s_ET_iw_o+s_ET_iw_i)*(1/24)*s_RadSpec!AC10))*1,".")</f>
        <v>1631938.2147996817</v>
      </c>
      <c r="R10" s="22">
        <f>IFERROR((s_TR/(s_RadSpec!O10*s_EF_iw*(1/365)*s_ED_ind*s_RadSpec!T10*(s_ET_iw_o+s_ET_iw_i)*(1/24)*s_RadSpec!AD10))*1,".")</f>
        <v>1168344.1009563268</v>
      </c>
      <c r="S10" s="22">
        <f>IFERROR((s_TR/(s_RadSpec!K10*s_EF_iw*(1/365)*s_ED_ind*s_RadSpec!P10*(s_ET_iw_o+s_ET_iw_i)*(1/24)*s_RadSpec!Z10))*1,".")</f>
        <v>2943626.5840635528</v>
      </c>
      <c r="T10" s="43">
        <f>s_C*s_EF_iw*(1/365)*s_ED_ind*(s_ET_iw_o+s_ET_iw_i)*(1/24)*s_RadSpec!AA10*s_RadSpec!Q10*1</f>
        <v>8.0395923822251927E-2</v>
      </c>
      <c r="U10" s="43">
        <f>s_C*s_EF_iw*(1/365)*s_ED_ind*(s_ET_iw_o+s_ET_iw_i)*(1/24)*s_RadSpec!AB10*s_RadSpec!R10*1</f>
        <v>5.1593210244192993E-2</v>
      </c>
      <c r="V10" s="43">
        <f>s_C*s_EF_iw*(1/365)*s_ED_ind*(s_ET_iw_o+s_ET_iw_i)*(1/24)*s_RadSpec!AC10*s_RadSpec!S10*1</f>
        <v>7.2246158737467592E-2</v>
      </c>
      <c r="W10" s="43">
        <f>s_C*s_EF_iw*(1/365)*s_ED_ind*(s_ET_iw_o+s_ET_iw_i)*(1/24)*s_RadSpec!AD10*s_RadSpec!T10*1</f>
        <v>7.8990627253064188E-2</v>
      </c>
      <c r="X10" s="43">
        <f>s_C*s_EF_iw*(1/365)*s_ED_ind*(s_ET_iw_o+s_ET_iw_i)*(1/24)*s_RadSpec!Z10*s_RadSpec!P10*1</f>
        <v>3.0690449912354738E-2</v>
      </c>
      <c r="Y10" s="11"/>
      <c r="Z10" s="11"/>
      <c r="AA10" s="11"/>
      <c r="AB10" s="11"/>
      <c r="AC10" s="11"/>
      <c r="AD10" s="22">
        <f>IFERROR(s_TR/(s_RadSpec!G10*s_EF_iw*s_ED_ind*(s_ET_iw_o+s_ET_iw_i)*(1/24)*s_IRA_iw),".")</f>
        <v>12.931591878960301</v>
      </c>
      <c r="AE10" s="22">
        <f>IFERROR(s_TR/(s_RadSpec!J10*s_EF_iw*(1/365)*s_ED_ind*(s_ET_iw_o+s_ET_iw_i)*(1/24)*s_GSF_a),".")</f>
        <v>19626864.352316026</v>
      </c>
      <c r="AF10" s="22">
        <f t="shared" si="6"/>
        <v>12.931583358701774</v>
      </c>
      <c r="AG10" s="43">
        <f t="shared" si="4"/>
        <v>34375</v>
      </c>
      <c r="AH10" s="43">
        <f t="shared" si="5"/>
        <v>1.5696347031963471</v>
      </c>
      <c r="AI10" s="10"/>
      <c r="AJ10" s="10"/>
      <c r="AK10" s="10"/>
    </row>
    <row r="11" spans="1:37" x14ac:dyDescent="0.25">
      <c r="A11" s="23" t="s">
        <v>21</v>
      </c>
      <c r="B11" s="24" t="s">
        <v>289</v>
      </c>
      <c r="C11" s="2"/>
      <c r="D11" s="22" t="str">
        <f>IFERROR((s_TR/(s_RadSpec!I11*s_EF_iw*s_ED_ind*s_IRS_iw*(1/1000)))*1,".")</f>
        <v>.</v>
      </c>
      <c r="E11" s="22" t="str">
        <f>IFERROR(IF(A11="H-3",(s_TR/(s_RadSpec!G11*s_EF_iw*s_ED_ind*(s_ET_iw_o+s_ET_iw_i)*(1/24)*s_IRA_iw*(1/17)*1000))*1,(s_TR/(s_RadSpec!G11*s_EF_iw*s_ED_ind*(s_ET_iw_o+s_ET_iw_i)*(1/24)*s_IRA_iw*(1/s_PEF_wind)*1000))*1),".")</f>
        <v>.</v>
      </c>
      <c r="F11" s="22">
        <f>IFERROR((s_TR/(s_RadSpec!F11*s_EF_iw*(1/365)*s_ED_ind*s_RadSpec!Q11*(s_ET_iw_o+s_ET_iw_i)*(1/24)*s_RadSpec!AA11))*1,".")</f>
        <v>17735.642875698581</v>
      </c>
      <c r="G11" s="22">
        <f t="shared" si="0"/>
        <v>17735.642875698581</v>
      </c>
      <c r="H11" s="43">
        <f t="shared" si="1"/>
        <v>137.5</v>
      </c>
      <c r="I11" s="43">
        <f t="shared" si="2"/>
        <v>0.11080293013295324</v>
      </c>
      <c r="J11" s="43">
        <f>s_C*s_EF_iw*(1/365)*s_ED_ind*(s_ET_iw_o+s_ET_iw_i)*(1/24)*s_RadSpec!AA11*s_RadSpec!Q11*1</f>
        <v>2.6886919151222138E-2</v>
      </c>
      <c r="K11" s="4"/>
      <c r="L11" s="4"/>
      <c r="M11" s="4"/>
      <c r="N11" s="4"/>
      <c r="O11" s="22">
        <f>IFERROR((s_TR/(s_RadSpec!F11*s_EF_iw*(1/365)*s_ED_ind*s_RadSpec!Q11*(s_ET_iw_o+s_ET_iw_i)*(1/24)*s_RadSpec!AA11))*1,".")</f>
        <v>17735.642875698581</v>
      </c>
      <c r="P11" s="22">
        <f>IFERROR((s_TR/(s_RadSpec!M11*s_EF_iw*(1/365)*s_ED_ind*s_RadSpec!R11*(s_ET_iw_o+s_ET_iw_i)*(1/24)*s_RadSpec!AB11))*1,".")</f>
        <v>91936.232315342218</v>
      </c>
      <c r="Q11" s="22">
        <f>IFERROR((s_TR/(s_RadSpec!N11*s_EF_iw*(1/365)*s_ED_ind*s_RadSpec!S11*(s_ET_iw_o+s_ET_iw_i)*(1/24)*s_RadSpec!AC11))*1,".")</f>
        <v>25860.048827301296</v>
      </c>
      <c r="R11" s="22">
        <f>IFERROR((s_TR/(s_RadSpec!O11*s_EF_iw*(1/365)*s_ED_ind*s_RadSpec!T11*(s_ET_iw_o+s_ET_iw_i)*(1/24)*s_RadSpec!AD11))*1,".")</f>
        <v>17223.235577501018</v>
      </c>
      <c r="S11" s="22">
        <f>IFERROR((s_TR/(s_RadSpec!K11*s_EF_iw*(1/365)*s_ED_ind*s_RadSpec!P11*(s_ET_iw_o+s_ET_iw_i)*(1/24)*s_RadSpec!Z11))*1,".")</f>
        <v>173686.08424555103</v>
      </c>
      <c r="T11" s="43">
        <f>s_C*s_EF_iw*(1/365)*s_ED_ind*(s_ET_iw_o+s_ET_iw_i)*(1/24)*s_RadSpec!AA11*s_RadSpec!Q11*1</f>
        <v>2.6886919151222138E-2</v>
      </c>
      <c r="U11" s="43">
        <f>s_C*s_EF_iw*(1/365)*s_ED_ind*(s_ET_iw_o+s_ET_iw_i)*(1/24)*s_RadSpec!AB11*s_RadSpec!R11*1</f>
        <v>2.124892979452055E-2</v>
      </c>
      <c r="V11" s="43">
        <f>s_C*s_EF_iw*(1/365)*s_ED_ind*(s_ET_iw_o+s_ET_iw_i)*(1/24)*s_RadSpec!AC11*s_RadSpec!S11*1</f>
        <v>2.7379353567911192E-2</v>
      </c>
      <c r="W11" s="43">
        <f>s_C*s_EF_iw*(1/365)*s_ED_ind*(s_ET_iw_o+s_ET_iw_i)*(1/24)*s_RadSpec!AD11*s_RadSpec!T11*1</f>
        <v>2.8743090603220375E-2</v>
      </c>
      <c r="X11" s="43">
        <f>s_C*s_EF_iw*(1/365)*s_ED_ind*(s_ET_iw_o+s_ET_iw_i)*(1/24)*s_RadSpec!Z11*s_RadSpec!P11*1</f>
        <v>1.1414201575011581E-2</v>
      </c>
      <c r="Y11" s="11"/>
      <c r="Z11" s="11"/>
      <c r="AA11" s="11"/>
      <c r="AB11" s="11"/>
      <c r="AC11" s="11"/>
      <c r="AD11" s="22" t="str">
        <f>IFERROR(s_TR/(s_RadSpec!G11*s_EF_iw*s_ED_ind*(s_ET_iw_o+s_ET_iw_i)*(1/24)*s_IRA_iw),".")</f>
        <v>.</v>
      </c>
      <c r="AE11" s="22">
        <f>IFERROR(s_TR/(s_RadSpec!J11*s_EF_iw*(1/365)*s_ED_ind*(s_ET_iw_o+s_ET_iw_i)*(1/24)*s_GSF_a),".")</f>
        <v>276406.7016182298</v>
      </c>
      <c r="AF11" s="22">
        <f t="shared" si="6"/>
        <v>276406.7016182298</v>
      </c>
      <c r="AG11" s="43">
        <f t="shared" si="4"/>
        <v>34375</v>
      </c>
      <c r="AH11" s="43">
        <f t="shared" si="5"/>
        <v>1.5696347031963471</v>
      </c>
      <c r="AI11" s="10"/>
      <c r="AJ11" s="10"/>
      <c r="AK11" s="10"/>
    </row>
    <row r="12" spans="1:37" x14ac:dyDescent="0.25">
      <c r="A12" s="23" t="s">
        <v>22</v>
      </c>
      <c r="B12" s="24" t="s">
        <v>289</v>
      </c>
      <c r="C12" s="109"/>
      <c r="D12" s="22" t="str">
        <f>IFERROR((s_TR/(s_RadSpec!I12*s_EF_iw*s_ED_ind*s_IRS_iw*(1/1000)))*1,".")</f>
        <v>.</v>
      </c>
      <c r="E12" s="22" t="str">
        <f>IFERROR(IF(A12="H-3",(s_TR/(s_RadSpec!G12*s_EF_iw*s_ED_ind*(s_ET_iw_o+s_ET_iw_i)*(1/24)*s_IRA_iw*(1/17)*1000))*1,(s_TR/(s_RadSpec!G12*s_EF_iw*s_ED_ind*(s_ET_iw_o+s_ET_iw_i)*(1/24)*s_IRA_iw*(1/s_PEF_wind)*1000))*1),".")</f>
        <v>.</v>
      </c>
      <c r="F12" s="22">
        <f>IFERROR((s_TR/(s_RadSpec!F12*s_EF_iw*(1/365)*s_ED_ind*s_RadSpec!Q12*(s_ET_iw_o+s_ET_iw_i)*(1/24)*s_RadSpec!AA12))*1,".")</f>
        <v>1843.2498723547903</v>
      </c>
      <c r="G12" s="22">
        <f t="shared" si="0"/>
        <v>1843.2498723547906</v>
      </c>
      <c r="H12" s="43">
        <f t="shared" si="1"/>
        <v>137.5</v>
      </c>
      <c r="I12" s="43">
        <f t="shared" si="2"/>
        <v>0.11080293013295324</v>
      </c>
      <c r="J12" s="43">
        <f>s_C*s_EF_iw*(1/365)*s_ED_ind*(s_ET_iw_o+s_ET_iw_i)*(1/24)*s_RadSpec!AA12*s_RadSpec!Q12*1</f>
        <v>5.6115102373967218E-2</v>
      </c>
      <c r="K12" s="4"/>
      <c r="L12" s="4"/>
      <c r="M12" s="4"/>
      <c r="N12" s="4"/>
      <c r="O12" s="22">
        <f>IFERROR((s_TR/(s_RadSpec!F12*s_EF_iw*(1/365)*s_ED_ind*s_RadSpec!Q12*(s_ET_iw_o+s_ET_iw_i)*(1/24)*s_RadSpec!AA12))*1,".")</f>
        <v>1843.2498723547903</v>
      </c>
      <c r="P12" s="22">
        <f>IFERROR((s_TR/(s_RadSpec!M12*s_EF_iw*(1/365)*s_ED_ind*s_RadSpec!R12*(s_ET_iw_o+s_ET_iw_i)*(1/24)*s_RadSpec!AB12))*1,".")</f>
        <v>14552.084558453045</v>
      </c>
      <c r="Q12" s="22">
        <f>IFERROR((s_TR/(s_RadSpec!N12*s_EF_iw*(1/365)*s_ED_ind*s_RadSpec!S12*(s_ET_iw_o+s_ET_iw_i)*(1/24)*s_RadSpec!AC12))*1,".")</f>
        <v>3783.111896079633</v>
      </c>
      <c r="R12" s="22">
        <f>IFERROR((s_TR/(s_RadSpec!O12*s_EF_iw*(1/365)*s_ED_ind*s_RadSpec!T12*(s_ET_iw_o+s_ET_iw_i)*(1/24)*s_RadSpec!AD12))*1,".")</f>
        <v>2265.3293322457198</v>
      </c>
      <c r="S12" s="22">
        <f>IFERROR((s_TR/(s_RadSpec!K12*s_EF_iw*(1/365)*s_ED_ind*s_RadSpec!P12*(s_ET_iw_o+s_ET_iw_i)*(1/24)*s_RadSpec!Z12))*1,".")</f>
        <v>24695.287322469518</v>
      </c>
      <c r="T12" s="43">
        <f>s_C*s_EF_iw*(1/365)*s_ED_ind*(s_ET_iw_o+s_ET_iw_i)*(1/24)*s_RadSpec!AA12*s_RadSpec!Q12*1</f>
        <v>5.6115102373967218E-2</v>
      </c>
      <c r="U12" s="43">
        <f>s_C*s_EF_iw*(1/365)*s_ED_ind*(s_ET_iw_o+s_ET_iw_i)*(1/24)*s_RadSpec!AB12*s_RadSpec!R12*1</f>
        <v>3.1278203062046733E-2</v>
      </c>
      <c r="V12" s="43">
        <f>s_C*s_EF_iw*(1/365)*s_ED_ind*(s_ET_iw_o+s_ET_iw_i)*(1/24)*s_RadSpec!AC12*s_RadSpec!S12*1</f>
        <v>4.3137134796005519E-2</v>
      </c>
      <c r="W12" s="43">
        <f>s_C*s_EF_iw*(1/365)*s_ED_ind*(s_ET_iw_o+s_ET_iw_i)*(1/24)*s_RadSpec!AD12*s_RadSpec!T12*1</f>
        <v>4.8845212097147796E-2</v>
      </c>
      <c r="X12" s="43">
        <f>s_C*s_EF_iw*(1/365)*s_ED_ind*(s_ET_iw_o+s_ET_iw_i)*(1/24)*s_RadSpec!Z12*s_RadSpec!P12*1</f>
        <v>1.8119169678124214E-2</v>
      </c>
      <c r="Y12" s="11"/>
      <c r="Z12" s="11"/>
      <c r="AA12" s="11"/>
      <c r="AB12" s="11"/>
      <c r="AC12" s="11"/>
      <c r="AD12" s="22" t="str">
        <f>IFERROR(s_TR/(s_RadSpec!G12*s_EF_iw*s_ED_ind*(s_ET_iw_o+s_ET_iw_i)*(1/24)*s_IRA_iw),".")</f>
        <v>.</v>
      </c>
      <c r="AE12" s="22">
        <f>IFERROR(s_TR/(s_RadSpec!J12*s_EF_iw*(1/365)*s_ED_ind*(s_ET_iw_o+s_ET_iw_i)*(1/24)*s_GSF_a),".")</f>
        <v>64191.391646398297</v>
      </c>
      <c r="AF12" s="22">
        <f t="shared" si="6"/>
        <v>64191.391646398297</v>
      </c>
      <c r="AG12" s="43">
        <f t="shared" si="4"/>
        <v>34375</v>
      </c>
      <c r="AH12" s="43">
        <f t="shared" si="5"/>
        <v>1.5696347031963471</v>
      </c>
      <c r="AI12" s="10"/>
      <c r="AJ12" s="10"/>
      <c r="AK12" s="10"/>
    </row>
    <row r="13" spans="1:37" x14ac:dyDescent="0.25">
      <c r="A13" s="23" t="s">
        <v>23</v>
      </c>
      <c r="B13" s="24" t="s">
        <v>289</v>
      </c>
      <c r="C13" s="2"/>
      <c r="D13" s="22">
        <f>IFERROR((s_TR/(s_RadSpec!I13*s_EF_iw*s_ED_ind*s_IRS_iw*(1/1000)))*1,".")</f>
        <v>7738.5904157557707</v>
      </c>
      <c r="E13" s="22">
        <f>IFERROR(IF(A13="H-3",(s_TR/(s_RadSpec!G13*s_EF_iw*s_ED_ind*(s_ET_iw_o+s_ET_iw_i)*(1/24)*s_IRA_iw*(1/17)*1000))*1,(s_TR/(s_RadSpec!G13*s_EF_iw*s_ED_ind*(s_ET_iw_o+s_ET_iw_i)*(1/24)*s_IRA_iw*(1/s_PEF_wind)*1000))*1),".")</f>
        <v>15736.760399221832</v>
      </c>
      <c r="F13" s="22">
        <f>IFERROR((s_TR/(s_RadSpec!F13*s_EF_iw*(1/365)*s_ED_ind*s_RadSpec!Q13*(s_ET_iw_o+s_ET_iw_i)*(1/24)*s_RadSpec!AA13))*1,".")</f>
        <v>132405.73454870784</v>
      </c>
      <c r="G13" s="22">
        <f t="shared" si="0"/>
        <v>4991.9997362621907</v>
      </c>
      <c r="H13" s="43">
        <f t="shared" si="1"/>
        <v>137.5</v>
      </c>
      <c r="I13" s="43">
        <f t="shared" si="2"/>
        <v>0.11080293013295324</v>
      </c>
      <c r="J13" s="43">
        <f>s_C*s_EF_iw*(1/365)*s_ED_ind*(s_ET_iw_o+s_ET_iw_i)*(1/24)*s_RadSpec!AA13*s_RadSpec!Q13*1</f>
        <v>7.3005199480051953E-3</v>
      </c>
      <c r="K13" s="4"/>
      <c r="L13" s="4"/>
      <c r="M13" s="4"/>
      <c r="N13" s="4"/>
      <c r="O13" s="22">
        <f>IFERROR((s_TR/(s_RadSpec!F13*s_EF_iw*(1/365)*s_ED_ind*s_RadSpec!Q13*(s_ET_iw_o+s_ET_iw_i)*(1/24)*s_RadSpec!AA13))*1,".")</f>
        <v>132405.73454870784</v>
      </c>
      <c r="P13" s="22">
        <f>IFERROR((s_TR/(s_RadSpec!M13*s_EF_iw*(1/365)*s_ED_ind*s_RadSpec!R13*(s_ET_iw_o+s_ET_iw_i)*(1/24)*s_RadSpec!AB13))*1,".")</f>
        <v>860802.88071535842</v>
      </c>
      <c r="Q13" s="22">
        <f>IFERROR((s_TR/(s_RadSpec!N13*s_EF_iw*(1/365)*s_ED_ind*s_RadSpec!S13*(s_ET_iw_o+s_ET_iw_i)*(1/24)*s_RadSpec!AC13))*1,".")</f>
        <v>214913.96813221477</v>
      </c>
      <c r="R13" s="22">
        <f>IFERROR((s_TR/(s_RadSpec!O13*s_EF_iw*(1/365)*s_ED_ind*s_RadSpec!T13*(s_ET_iw_o+s_ET_iw_i)*(1/24)*s_RadSpec!AD13))*1,".")</f>
        <v>142254.31201218377</v>
      </c>
      <c r="S13" s="22">
        <f>IFERROR((s_TR/(s_RadSpec!K13*s_EF_iw*(1/365)*s_ED_ind*s_RadSpec!P13*(s_ET_iw_o+s_ET_iw_i)*(1/24)*s_RadSpec!Z13))*1,".")</f>
        <v>6836687.0262451647</v>
      </c>
      <c r="T13" s="43">
        <f>s_C*s_EF_iw*(1/365)*s_ED_ind*(s_ET_iw_o+s_ET_iw_i)*(1/24)*s_RadSpec!AA13*s_RadSpec!Q13*1</f>
        <v>7.3005199480051953E-3</v>
      </c>
      <c r="U13" s="43">
        <f>s_C*s_EF_iw*(1/365)*s_ED_ind*(s_ET_iw_o+s_ET_iw_i)*(1/24)*s_RadSpec!AB13*s_RadSpec!R13*1</f>
        <v>3.3476634606042946E-3</v>
      </c>
      <c r="V13" s="43">
        <f>s_C*s_EF_iw*(1/365)*s_ED_ind*(s_ET_iw_o+s_ET_iw_i)*(1/24)*s_RadSpec!AC13*s_RadSpec!S13*1</f>
        <v>5.6349155782096233E-3</v>
      </c>
      <c r="W13" s="43">
        <f>s_C*s_EF_iw*(1/365)*s_ED_ind*(s_ET_iw_o+s_ET_iw_i)*(1/24)*s_RadSpec!AD13*s_RadSpec!T13*1</f>
        <v>6.8259056987105982E-3</v>
      </c>
      <c r="X13" s="43">
        <f>s_C*s_EF_iw*(1/365)*s_ED_ind*(s_ET_iw_o+s_ET_iw_i)*(1/24)*s_RadSpec!Z13*s_RadSpec!P13*1</f>
        <v>3.4797345007767284E-4</v>
      </c>
      <c r="Y13" s="11"/>
      <c r="Z13" s="11"/>
      <c r="AA13" s="11"/>
      <c r="AB13" s="11"/>
      <c r="AC13" s="11"/>
      <c r="AD13" s="22">
        <f>IFERROR(s_TR/(s_RadSpec!G13*s_EF_iw*s_ED_ind*(s_ET_iw_o+s_ET_iw_i)*(1/24)*s_IRA_iw),".")</f>
        <v>5.0725212015534607E-2</v>
      </c>
      <c r="AE13" s="22">
        <f>IFERROR(s_TR/(s_RadSpec!J13*s_EF_iw*(1/365)*s_ED_ind*(s_ET_iw_o+s_ET_iw_i)*(1/24)*s_GSF_a),".")</f>
        <v>415241.11795615341</v>
      </c>
      <c r="AF13" s="22">
        <f t="shared" si="6"/>
        <v>5.0725205819022005E-2</v>
      </c>
      <c r="AG13" s="43">
        <f t="shared" si="4"/>
        <v>34375</v>
      </c>
      <c r="AH13" s="43">
        <f t="shared" si="5"/>
        <v>1.5696347031963471</v>
      </c>
      <c r="AI13" s="10"/>
      <c r="AJ13" s="10"/>
      <c r="AK13" s="10"/>
    </row>
    <row r="14" spans="1:37" x14ac:dyDescent="0.25">
      <c r="A14" s="23" t="s">
        <v>24</v>
      </c>
      <c r="B14" s="24" t="s">
        <v>289</v>
      </c>
      <c r="C14" s="2"/>
      <c r="D14" s="22">
        <f>IFERROR((s_TR/(s_RadSpec!I14*s_EF_iw*s_ED_ind*s_IRS_iw*(1/1000)))*1,".")</f>
        <v>140802.43306604339</v>
      </c>
      <c r="E14" s="22">
        <f>IFERROR(IF(A14="H-3",(s_TR/(s_RadSpec!G14*s_EF_iw*s_ED_ind*(s_ET_iw_o+s_ET_iw_i)*(1/24)*s_IRA_iw*(1/17)*1000))*1,(s_TR/(s_RadSpec!G14*s_EF_iw*s_ED_ind*(s_ET_iw_o+s_ET_iw_i)*(1/24)*s_IRA_iw*(1/s_PEF_wind)*1000))*1),".")</f>
        <v>29530240.458588183</v>
      </c>
      <c r="F14" s="22">
        <f>IFERROR((s_TR/(s_RadSpec!F14*s_EF_iw*(1/365)*s_ED_ind*s_RadSpec!Q14*(s_ET_iw_o+s_ET_iw_i)*(1/24)*s_RadSpec!AA14))*1,".")</f>
        <v>1279.8313308492543</v>
      </c>
      <c r="G14" s="22">
        <f t="shared" si="0"/>
        <v>1268.2485515517224</v>
      </c>
      <c r="H14" s="43">
        <f t="shared" si="1"/>
        <v>137.5</v>
      </c>
      <c r="I14" s="43">
        <f t="shared" si="2"/>
        <v>0.11080293013295324</v>
      </c>
      <c r="J14" s="43">
        <f>s_C*s_EF_iw*(1/365)*s_ED_ind*(s_ET_iw_o+s_ET_iw_i)*(1/24)*s_RadSpec!AA14*s_RadSpec!Q14*1</f>
        <v>4.8632112750263468E-2</v>
      </c>
      <c r="K14" s="4"/>
      <c r="L14" s="4"/>
      <c r="M14" s="4"/>
      <c r="N14" s="4"/>
      <c r="O14" s="22">
        <f>IFERROR((s_TR/(s_RadSpec!F14*s_EF_iw*(1/365)*s_ED_ind*s_RadSpec!Q14*(s_ET_iw_o+s_ET_iw_i)*(1/24)*s_RadSpec!AA14))*1,".")</f>
        <v>1279.8313308492543</v>
      </c>
      <c r="P14" s="22">
        <f>IFERROR((s_TR/(s_RadSpec!M14*s_EF_iw*(1/365)*s_ED_ind*s_RadSpec!R14*(s_ET_iw_o+s_ET_iw_i)*(1/24)*s_RadSpec!AB14))*1,".")</f>
        <v>9798.5451220618343</v>
      </c>
      <c r="Q14" s="22">
        <f>IFERROR((s_TR/(s_RadSpec!N14*s_EF_iw*(1/365)*s_ED_ind*s_RadSpec!S14*(s_ET_iw_o+s_ET_iw_i)*(1/24)*s_RadSpec!AC14))*1,".")</f>
        <v>2639.0650123532637</v>
      </c>
      <c r="R14" s="22">
        <f>IFERROR((s_TR/(s_RadSpec!O14*s_EF_iw*(1/365)*s_ED_ind*s_RadSpec!T14*(s_ET_iw_o+s_ET_iw_i)*(1/24)*s_RadSpec!AD14))*1,".")</f>
        <v>1591.4692339484882</v>
      </c>
      <c r="S14" s="22">
        <f>IFERROR((s_TR/(s_RadSpec!K14*s_EF_iw*(1/365)*s_ED_ind*s_RadSpec!P14*(s_ET_iw_o+s_ET_iw_i)*(1/24)*s_RadSpec!Z14))*1,".")</f>
        <v>27714.177710221913</v>
      </c>
      <c r="T14" s="43">
        <f>s_C*s_EF_iw*(1/365)*s_ED_ind*(s_ET_iw_o+s_ET_iw_i)*(1/24)*s_RadSpec!AA14*s_RadSpec!Q14*1</f>
        <v>4.8632112750263468E-2</v>
      </c>
      <c r="U14" s="43">
        <f>s_C*s_EF_iw*(1/365)*s_ED_ind*(s_ET_iw_o+s_ET_iw_i)*(1/24)*s_RadSpec!AB14*s_RadSpec!R14*1</f>
        <v>2.677827281996718E-2</v>
      </c>
      <c r="V14" s="43">
        <f>s_C*s_EF_iw*(1/365)*s_ED_ind*(s_ET_iw_o+s_ET_iw_i)*(1/24)*s_RadSpec!AC14*s_RadSpec!S14*1</f>
        <v>3.6218979551320217E-2</v>
      </c>
      <c r="W14" s="43">
        <f>s_C*s_EF_iw*(1/365)*s_ED_ind*(s_ET_iw_o+s_ET_iw_i)*(1/24)*s_RadSpec!AD14*s_RadSpec!T14*1</f>
        <v>4.1331872146118727E-2</v>
      </c>
      <c r="X14" s="43">
        <f>s_C*s_EF_iw*(1/365)*s_ED_ind*(s_ET_iw_o+s_ET_iw_i)*(1/24)*s_RadSpec!Z14*s_RadSpec!P14*1</f>
        <v>9.5970208804362252E-3</v>
      </c>
      <c r="Y14" s="11"/>
      <c r="Z14" s="11"/>
      <c r="AA14" s="11"/>
      <c r="AB14" s="11"/>
      <c r="AC14" s="11"/>
      <c r="AD14" s="22">
        <f>IFERROR(s_TR/(s_RadSpec!G14*s_EF_iw*s_ED_ind*(s_ET_iw_o+s_ET_iw_i)*(1/24)*s_IRA_iw),".")</f>
        <v>95.186535864501977</v>
      </c>
      <c r="AE14" s="22">
        <f>IFERROR(s_TR/(s_RadSpec!J14*s_EF_iw*(1/365)*s_ED_ind*(s_ET_iw_o+s_ET_iw_i)*(1/24)*s_GSF_a),".")</f>
        <v>37320.576538603658</v>
      </c>
      <c r="AF14" s="22">
        <f t="shared" si="6"/>
        <v>94.944379194013891</v>
      </c>
      <c r="AG14" s="43">
        <f t="shared" si="4"/>
        <v>34375</v>
      </c>
      <c r="AH14" s="43">
        <f t="shared" si="5"/>
        <v>1.5696347031963471</v>
      </c>
      <c r="AI14" s="10"/>
      <c r="AJ14" s="10"/>
      <c r="AK14" s="10"/>
    </row>
    <row r="15" spans="1:37" x14ac:dyDescent="0.25">
      <c r="A15" s="23" t="s">
        <v>25</v>
      </c>
      <c r="B15" s="24" t="s">
        <v>289</v>
      </c>
      <c r="C15" s="2"/>
      <c r="D15" s="22">
        <f>IFERROR((s_TR/(s_RadSpec!I15*s_EF_iw*s_ED_ind*s_IRS_iw*(1/1000)))*1,".")</f>
        <v>2978184.7963666143</v>
      </c>
      <c r="E15" s="22">
        <f>IFERROR(IF(A15="H-3",(s_TR/(s_RadSpec!G15*s_EF_iw*s_ED_ind*(s_ET_iw_o+s_ET_iw_i)*(1/24)*s_IRA_iw*(1/17)*1000))*1,(s_TR/(s_RadSpec!G15*s_EF_iw*s_ED_ind*(s_ET_iw_o+s_ET_iw_i)*(1/24)*s_IRA_iw*(1/s_PEF_wind)*1000))*1),".")</f>
        <v>2170104859.3232956</v>
      </c>
      <c r="F15" s="22" t="str">
        <f>IFERROR((s_TR/(s_RadSpec!F15*s_EF_iw*(1/365)*s_ED_ind*s_RadSpec!Q15*(s_ET_iw_o+s_ET_iw_i)*(1/24)*s_RadSpec!AA15))*1,".")</f>
        <v>.</v>
      </c>
      <c r="G15" s="22">
        <f t="shared" si="0"/>
        <v>2974103.2290720232</v>
      </c>
      <c r="H15" s="43">
        <f t="shared" si="1"/>
        <v>137.5</v>
      </c>
      <c r="I15" s="43">
        <f t="shared" si="2"/>
        <v>0.11080293013295324</v>
      </c>
      <c r="J15" s="43">
        <f>s_C*s_EF_iw*(1/365)*s_ED_ind*(s_ET_iw_o+s_ET_iw_i)*(1/24)*s_RadSpec!AA15*s_RadSpec!Q15*1</f>
        <v>0</v>
      </c>
      <c r="K15" s="4"/>
      <c r="L15" s="4"/>
      <c r="M15" s="4"/>
      <c r="N15" s="4"/>
      <c r="O15" s="22" t="str">
        <f>IFERROR((s_TR/(s_RadSpec!F15*s_EF_iw*(1/365)*s_ED_ind*s_RadSpec!Q15*(s_ET_iw_o+s_ET_iw_i)*(1/24)*s_RadSpec!AA15))*1,".")</f>
        <v>.</v>
      </c>
      <c r="P15" s="22" t="str">
        <f>IFERROR((s_TR/(s_RadSpec!M15*s_EF_iw*(1/365)*s_ED_ind*s_RadSpec!R15*(s_ET_iw_o+s_ET_iw_i)*(1/24)*s_RadSpec!AB15))*1,".")</f>
        <v>.</v>
      </c>
      <c r="Q15" s="22" t="str">
        <f>IFERROR((s_TR/(s_RadSpec!N15*s_EF_iw*(1/365)*s_ED_ind*s_RadSpec!S15*(s_ET_iw_o+s_ET_iw_i)*(1/24)*s_RadSpec!AC15))*1,".")</f>
        <v>.</v>
      </c>
      <c r="R15" s="22" t="str">
        <f>IFERROR((s_TR/(s_RadSpec!O15*s_EF_iw*(1/365)*s_ED_ind*s_RadSpec!T15*(s_ET_iw_o+s_ET_iw_i)*(1/24)*s_RadSpec!AD15))*1,".")</f>
        <v>.</v>
      </c>
      <c r="S15" s="22" t="str">
        <f>IFERROR((s_TR/(s_RadSpec!K15*s_EF_iw*(1/365)*s_ED_ind*s_RadSpec!P15*(s_ET_iw_o+s_ET_iw_i)*(1/24)*s_RadSpec!Z15))*1,".")</f>
        <v>.</v>
      </c>
      <c r="T15" s="43">
        <f>s_C*s_EF_iw*(1/365)*s_ED_ind*(s_ET_iw_o+s_ET_iw_i)*(1/24)*s_RadSpec!AA15*s_RadSpec!Q15*1</f>
        <v>0</v>
      </c>
      <c r="U15" s="43">
        <f>s_C*s_EF_iw*(1/365)*s_ED_ind*(s_ET_iw_o+s_ET_iw_i)*(1/24)*s_RadSpec!AB15*s_RadSpec!R15*1</f>
        <v>0</v>
      </c>
      <c r="V15" s="43">
        <f>s_C*s_EF_iw*(1/365)*s_ED_ind*(s_ET_iw_o+s_ET_iw_i)*(1/24)*s_RadSpec!AC15*s_RadSpec!S15*1</f>
        <v>0</v>
      </c>
      <c r="W15" s="43">
        <f>s_C*s_EF_iw*(1/365)*s_ED_ind*(s_ET_iw_o+s_ET_iw_i)*(1/24)*s_RadSpec!AD15*s_RadSpec!T15*1</f>
        <v>0</v>
      </c>
      <c r="X15" s="43">
        <f>s_C*s_EF_iw*(1/365)*s_ED_ind*(s_ET_iw_o+s_ET_iw_i)*(1/24)*s_RadSpec!Z15*s_RadSpec!P15*1</f>
        <v>0</v>
      </c>
      <c r="Y15" s="11"/>
      <c r="Z15" s="11"/>
      <c r="AA15" s="11"/>
      <c r="AB15" s="11"/>
      <c r="AC15" s="11"/>
      <c r="AD15" s="22">
        <f>IFERROR(s_TR/(s_RadSpec!G15*s_EF_iw*s_ED_ind*(s_ET_iw_o+s_ET_iw_i)*(1/24)*s_IRA_iw),".")</f>
        <v>6995.0247886190973</v>
      </c>
      <c r="AE15" s="22">
        <f>IFERROR(s_TR/(s_RadSpec!J15*s_EF_iw*(1/365)*s_ED_ind*(s_ET_iw_o+s_ET_iw_i)*(1/24)*s_GSF_a),".")</f>
        <v>18685850.308026899</v>
      </c>
      <c r="AF15" s="22">
        <f t="shared" si="6"/>
        <v>6992.4071896970381</v>
      </c>
      <c r="AG15" s="43">
        <f t="shared" si="4"/>
        <v>34375</v>
      </c>
      <c r="AH15" s="43">
        <f t="shared" si="5"/>
        <v>1.5696347031963471</v>
      </c>
      <c r="AI15" s="10"/>
      <c r="AJ15" s="10"/>
      <c r="AK15" s="10"/>
    </row>
    <row r="16" spans="1:37" x14ac:dyDescent="0.25">
      <c r="A16" s="23" t="s">
        <v>26</v>
      </c>
      <c r="B16" s="24" t="s">
        <v>289</v>
      </c>
      <c r="C16" s="109"/>
      <c r="D16" s="22">
        <f>IFERROR((s_TR/(s_RadSpec!I16*s_EF_iw*s_ED_ind*s_IRS_iw*(1/1000)))*1,".")</f>
        <v>606.6672733339401</v>
      </c>
      <c r="E16" s="22">
        <f>IFERROR(IF(A16="H-3",(s_TR/(s_RadSpec!G16*s_EF_iw*s_ED_ind*(s_ET_iw_o+s_ET_iw_i)*(1/24)*s_IRA_iw*(1/17)*1000))*1,(s_TR/(s_RadSpec!G16*s_EF_iw*s_ED_ind*(s_ET_iw_o+s_ET_iw_i)*(1/24)*s_IRA_iw*(1/s_PEF_wind)*1000))*1),".")</f>
        <v>28428.879509083727</v>
      </c>
      <c r="F16" s="22">
        <f>IFERROR((s_TR/(s_RadSpec!F16*s_EF_iw*(1/365)*s_ED_ind*s_RadSpec!Q16*(s_ET_iw_o+s_ET_iw_i)*(1/24)*s_RadSpec!AA16))*1,".")</f>
        <v>6448095992.3567705</v>
      </c>
      <c r="G16" s="22">
        <f t="shared" si="0"/>
        <v>593.9915427181088</v>
      </c>
      <c r="H16" s="43">
        <f t="shared" si="1"/>
        <v>137.5</v>
      </c>
      <c r="I16" s="43">
        <f t="shared" si="2"/>
        <v>0.11080293013295324</v>
      </c>
      <c r="J16" s="43">
        <f>s_C*s_EF_iw*(1/365)*s_ED_ind*(s_ET_iw_o+s_ET_iw_i)*(1/24)*s_RadSpec!AA16*s_RadSpec!Q16*1</f>
        <v>5.2291258969341142E-6</v>
      </c>
      <c r="K16" s="4"/>
      <c r="L16" s="4"/>
      <c r="M16" s="4"/>
      <c r="N16" s="4"/>
      <c r="O16" s="22">
        <f>IFERROR((s_TR/(s_RadSpec!F16*s_EF_iw*(1/365)*s_ED_ind*s_RadSpec!Q16*(s_ET_iw_o+s_ET_iw_i)*(1/24)*s_RadSpec!AA16))*1,".")</f>
        <v>6448095992.3567705</v>
      </c>
      <c r="P16" s="22">
        <f>IFERROR((s_TR/(s_RadSpec!M16*s_EF_iw*(1/365)*s_ED_ind*s_RadSpec!R16*(s_ET_iw_o+s_ET_iw_i)*(1/24)*s_RadSpec!AB16))*1,".")</f>
        <v>17873129788.768269</v>
      </c>
      <c r="Q16" s="22">
        <f>IFERROR((s_TR/(s_RadSpec!N16*s_EF_iw*(1/365)*s_ED_ind*s_RadSpec!S16*(s_ET_iw_o+s_ET_iw_i)*(1/24)*s_RadSpec!AC16))*1,".")</f>
        <v>6975697339.4444866</v>
      </c>
      <c r="R16" s="22">
        <f>IFERROR((s_TR/(s_RadSpec!O16*s_EF_iw*(1/365)*s_ED_ind*s_RadSpec!T16*(s_ET_iw_o+s_ET_iw_i)*(1/24)*s_RadSpec!AD16))*1,".")</f>
        <v>6934445515.863081</v>
      </c>
      <c r="S16" s="22">
        <f>IFERROR((s_TR/(s_RadSpec!K16*s_EF_iw*(1/365)*s_ED_ind*s_RadSpec!P16*(s_ET_iw_o+s_ET_iw_i)*(1/24)*s_RadSpec!Z16))*1,".")</f>
        <v>231984196001.01425</v>
      </c>
      <c r="T16" s="43">
        <f>s_C*s_EF_iw*(1/365)*s_ED_ind*(s_ET_iw_o+s_ET_iw_i)*(1/24)*s_RadSpec!AA16*s_RadSpec!Q16*1</f>
        <v>5.2291258969341142E-6</v>
      </c>
      <c r="U16" s="43">
        <f>s_C*s_EF_iw*(1/365)*s_ED_ind*(s_ET_iw_o+s_ET_iw_i)*(1/24)*s_RadSpec!AB16*s_RadSpec!R16*1</f>
        <v>2.9361182693611819E-6</v>
      </c>
      <c r="V16" s="43">
        <f>s_C*s_EF_iw*(1/365)*s_ED_ind*(s_ET_iw_o+s_ET_iw_i)*(1/24)*s_RadSpec!AC16*s_RadSpec!S16*1</f>
        <v>4.8875030852770563E-6</v>
      </c>
      <c r="W16" s="43">
        <f>s_C*s_EF_iw*(1/365)*s_ED_ind*(s_ET_iw_o+s_ET_iw_i)*(1/24)*s_RadSpec!AD16*s_RadSpec!T16*1</f>
        <v>4.8623795027904594E-6</v>
      </c>
      <c r="X16" s="43">
        <f>s_C*s_EF_iw*(1/365)*s_ED_ind*(s_ET_iw_o+s_ET_iw_i)*(1/24)*s_RadSpec!Z16*s_RadSpec!P16*1</f>
        <v>1.2557077625570777E-7</v>
      </c>
      <c r="Y16" s="11"/>
      <c r="Z16" s="11"/>
      <c r="AA16" s="11"/>
      <c r="AB16" s="11"/>
      <c r="AC16" s="11"/>
      <c r="AD16" s="22">
        <f>IFERROR(s_TR/(s_RadSpec!G16*s_EF_iw*s_ED_ind*(s_ET_iw_o+s_ET_iw_i)*(1/24)*s_IRA_iw),".")</f>
        <v>9.1636455272818912E-2</v>
      </c>
      <c r="AE16" s="22">
        <f>IFERROR(s_TR/(s_RadSpec!J16*s_EF_iw*(1/365)*s_ED_ind*(s_ET_iw_o+s_ET_iw_i)*(1/24)*s_GSF_a),".")</f>
        <v>8095353.5459107636</v>
      </c>
      <c r="AF16" s="22">
        <f t="shared" si="6"/>
        <v>9.1636454235527603E-2</v>
      </c>
      <c r="AG16" s="43">
        <f t="shared" si="4"/>
        <v>34375</v>
      </c>
      <c r="AH16" s="43">
        <f t="shared" si="5"/>
        <v>1.5696347031963471</v>
      </c>
      <c r="AI16" s="10"/>
      <c r="AJ16" s="10"/>
      <c r="AK16" s="10"/>
    </row>
    <row r="17" spans="1:37" x14ac:dyDescent="0.25">
      <c r="A17" s="23" t="s">
        <v>27</v>
      </c>
      <c r="B17" s="24" t="s">
        <v>289</v>
      </c>
      <c r="C17" s="109"/>
      <c r="D17" s="22">
        <f>IFERROR((s_TR/(s_RadSpec!I17*s_EF_iw*s_ED_ind*s_IRS_iw*(1/1000)))*1,".")</f>
        <v>1648994.9375855415</v>
      </c>
      <c r="E17" s="22">
        <f>IFERROR(IF(A17="H-3",(s_TR/(s_RadSpec!G17*s_EF_iw*s_ED_ind*(s_ET_iw_o+s_ET_iw_i)*(1/24)*s_IRA_iw*(1/17)*1000))*1,(s_TR/(s_RadSpec!G17*s_EF_iw*s_ED_ind*(s_ET_iw_o+s_ET_iw_i)*(1/24)*s_IRA_iw*(1/s_PEF_wind)*1000))*1),".")</f>
        <v>5807613.9568556743</v>
      </c>
      <c r="F17" s="22">
        <f>IFERROR((s_TR/(s_RadSpec!F17*s_EF_iw*(1/365)*s_ED_ind*s_RadSpec!Q17*(s_ET_iw_o+s_ET_iw_i)*(1/24)*s_RadSpec!AA17))*1,".")</f>
        <v>884.71699575218508</v>
      </c>
      <c r="G17" s="22">
        <f t="shared" si="0"/>
        <v>884.10797235281166</v>
      </c>
      <c r="H17" s="43">
        <f t="shared" si="1"/>
        <v>137.5</v>
      </c>
      <c r="I17" s="43">
        <f t="shared" si="2"/>
        <v>0.11080293013295324</v>
      </c>
      <c r="J17" s="43">
        <f>s_C*s_EF_iw*(1/365)*s_ED_ind*(s_ET_iw_o+s_ET_iw_i)*(1/24)*s_RadSpec!AA17*s_RadSpec!Q17*1</f>
        <v>5.6876175127585318E-2</v>
      </c>
      <c r="K17" s="4"/>
      <c r="L17" s="4"/>
      <c r="M17" s="4"/>
      <c r="N17" s="4"/>
      <c r="O17" s="22">
        <f>IFERROR((s_TR/(s_RadSpec!F17*s_EF_iw*(1/365)*s_ED_ind*s_RadSpec!Q17*(s_ET_iw_o+s_ET_iw_i)*(1/24)*s_RadSpec!AA17))*1,".")</f>
        <v>884.71699575218508</v>
      </c>
      <c r="P17" s="22">
        <f>IFERROR((s_TR/(s_RadSpec!M17*s_EF_iw*(1/365)*s_ED_ind*s_RadSpec!R17*(s_ET_iw_o+s_ET_iw_i)*(1/24)*s_RadSpec!AB17))*1,".")</f>
        <v>6796.6942469616897</v>
      </c>
      <c r="Q17" s="22">
        <f>IFERROR((s_TR/(s_RadSpec!N17*s_EF_iw*(1/365)*s_ED_ind*s_RadSpec!S17*(s_ET_iw_o+s_ET_iw_i)*(1/24)*s_RadSpec!AC17))*1,".")</f>
        <v>1838.5994880560445</v>
      </c>
      <c r="R17" s="22">
        <f>IFERROR((s_TR/(s_RadSpec!O17*s_EF_iw*(1/365)*s_ED_ind*s_RadSpec!T17*(s_ET_iw_o+s_ET_iw_i)*(1/24)*s_RadSpec!AD17))*1,".")</f>
        <v>1106.0977852259116</v>
      </c>
      <c r="S17" s="22">
        <f>IFERROR((s_TR/(s_RadSpec!K17*s_EF_iw*(1/365)*s_ED_ind*s_RadSpec!P17*(s_ET_iw_o+s_ET_iw_i)*(1/24)*s_RadSpec!Z17))*1,".")</f>
        <v>13200.673011504272</v>
      </c>
      <c r="T17" s="43">
        <f>s_C*s_EF_iw*(1/365)*s_ED_ind*(s_ET_iw_o+s_ET_iw_i)*(1/24)*s_RadSpec!AA17*s_RadSpec!Q17*1</f>
        <v>5.6876175127585318E-2</v>
      </c>
      <c r="U17" s="43">
        <f>s_C*s_EF_iw*(1/365)*s_ED_ind*(s_ET_iw_o+s_ET_iw_i)*(1/24)*s_RadSpec!AB17*s_RadSpec!R17*1</f>
        <v>3.2543272804502497E-2</v>
      </c>
      <c r="V17" s="43">
        <f>s_C*s_EF_iw*(1/365)*s_ED_ind*(s_ET_iw_o+s_ET_iw_i)*(1/24)*s_RadSpec!AC17*s_RadSpec!S17*1</f>
        <v>4.3194384988584481E-2</v>
      </c>
      <c r="W17" s="43">
        <f>s_C*s_EF_iw*(1/365)*s_ED_ind*(s_ET_iw_o+s_ET_iw_i)*(1/24)*s_RadSpec!AD17*s_RadSpec!T17*1</f>
        <v>4.8574961948249645E-2</v>
      </c>
      <c r="X17" s="43">
        <f>s_C*s_EF_iw*(1/365)*s_ED_ind*(s_ET_iw_o+s_ET_iw_i)*(1/24)*s_RadSpec!Z17*s_RadSpec!P17*1</f>
        <v>1.6983800215484072E-2</v>
      </c>
      <c r="Y17" s="11"/>
      <c r="Z17" s="11"/>
      <c r="AA17" s="11"/>
      <c r="AB17" s="11"/>
      <c r="AC17" s="11"/>
      <c r="AD17" s="22">
        <f>IFERROR(s_TR/(s_RadSpec!G17*s_EF_iw*s_ED_ind*(s_ET_iw_o+s_ET_iw_i)*(1/24)*s_IRA_iw),".")</f>
        <v>18.720018720018718</v>
      </c>
      <c r="AE17" s="22">
        <f>IFERROR(s_TR/(s_RadSpec!J17*s_EF_iw*(1/365)*s_ED_ind*(s_ET_iw_o+s_ET_iw_i)*(1/24)*s_GSF_a),".")</f>
        <v>31250.104753401229</v>
      </c>
      <c r="AF17" s="22">
        <f t="shared" si="6"/>
        <v>18.708811419986439</v>
      </c>
      <c r="AG17" s="43">
        <f t="shared" si="4"/>
        <v>34375</v>
      </c>
      <c r="AH17" s="43">
        <f t="shared" si="5"/>
        <v>1.5696347031963471</v>
      </c>
      <c r="AI17" s="10"/>
      <c r="AJ17" s="10"/>
      <c r="AK17" s="10"/>
    </row>
    <row r="18" spans="1:37" x14ac:dyDescent="0.25">
      <c r="A18" s="23" t="s">
        <v>28</v>
      </c>
      <c r="B18" s="24" t="s">
        <v>289</v>
      </c>
      <c r="C18" s="109"/>
      <c r="D18" s="22">
        <f>IFERROR((s_TR/(s_RadSpec!I18*s_EF_iw*s_ED_ind*s_IRS_iw*(1/1000)))*1,".")</f>
        <v>253.29922237138732</v>
      </c>
      <c r="E18" s="22">
        <f>IFERROR(IF(A18="H-3",(s_TR/(s_RadSpec!G18*s_EF_iw*s_ED_ind*(s_ET_iw_o+s_ET_iw_i)*(1/24)*s_IRA_iw*(1/17)*1000))*1,(s_TR/(s_RadSpec!G18*s_EF_iw*s_ED_ind*(s_ET_iw_o+s_ET_iw_i)*(1/24)*s_IRA_iw*(1/s_PEF_wind)*1000))*1),".")</f>
        <v>31112.217626012549</v>
      </c>
      <c r="F18" s="22">
        <f>IFERROR((s_TR/(s_RadSpec!F18*s_EF_iw*(1/365)*s_ED_ind*s_RadSpec!Q18*(s_ET_iw_o+s_ET_iw_i)*(1/24)*s_RadSpec!AA18))*1,".")</f>
        <v>9934173.6458497494</v>
      </c>
      <c r="G18" s="22">
        <f t="shared" si="0"/>
        <v>251.24729353392138</v>
      </c>
      <c r="H18" s="43">
        <f t="shared" si="1"/>
        <v>137.5</v>
      </c>
      <c r="I18" s="43">
        <f t="shared" si="2"/>
        <v>0.11080293013295324</v>
      </c>
      <c r="J18" s="43">
        <f>s_C*s_EF_iw*(1/365)*s_ED_ind*(s_ET_iw_o+s_ET_iw_i)*(1/24)*s_RadSpec!AA18*s_RadSpec!Q18*1</f>
        <v>0.11167224870758152</v>
      </c>
      <c r="K18" s="4"/>
      <c r="L18" s="4"/>
      <c r="M18" s="4"/>
      <c r="N18" s="4"/>
      <c r="O18" s="22">
        <f>IFERROR((s_TR/(s_RadSpec!F18*s_EF_iw*(1/365)*s_ED_ind*s_RadSpec!Q18*(s_ET_iw_o+s_ET_iw_i)*(1/24)*s_RadSpec!AA18))*1,".")</f>
        <v>9934173.6458497494</v>
      </c>
      <c r="P18" s="22">
        <f>IFERROR((s_TR/(s_RadSpec!M18*s_EF_iw*(1/365)*s_ED_ind*s_RadSpec!R18*(s_ET_iw_o+s_ET_iw_i)*(1/24)*s_RadSpec!AB18))*1,".")</f>
        <v>99002382.388733715</v>
      </c>
      <c r="Q18" s="22">
        <f>IFERROR((s_TR/(s_RadSpec!N18*s_EF_iw*(1/365)*s_ED_ind*s_RadSpec!S18*(s_ET_iw_o+s_ET_iw_i)*(1/24)*s_RadSpec!AC18))*1,".")</f>
        <v>24418761.400580149</v>
      </c>
      <c r="R18" s="22">
        <f>IFERROR((s_TR/(s_RadSpec!O18*s_EF_iw*(1/365)*s_ED_ind*s_RadSpec!T18*(s_ET_iw_o+s_ET_iw_i)*(1/24)*s_RadSpec!AD18))*1,".")</f>
        <v>12986281.234334793</v>
      </c>
      <c r="S18" s="22">
        <f>IFERROR((s_TR/(s_RadSpec!K18*s_EF_iw*(1/365)*s_ED_ind*s_RadSpec!P18*(s_ET_iw_o+s_ET_iw_i)*(1/24)*s_RadSpec!Z18))*1,".")</f>
        <v>173119853.03018382</v>
      </c>
      <c r="T18" s="43">
        <f>s_C*s_EF_iw*(1/365)*s_ED_ind*(s_ET_iw_o+s_ET_iw_i)*(1/24)*s_RadSpec!AA18*s_RadSpec!Q18*1</f>
        <v>0.11167224870758152</v>
      </c>
      <c r="U18" s="43">
        <f>s_C*s_EF_iw*(1/365)*s_ED_ind*(s_ET_iw_o+s_ET_iw_i)*(1/24)*s_RadSpec!AB18*s_RadSpec!R18*1</f>
        <v>5.6436902728825261E-2</v>
      </c>
      <c r="V18" s="43">
        <f>s_C*s_EF_iw*(1/365)*s_ED_ind*(s_ET_iw_o+s_ET_iw_i)*(1/24)*s_RadSpec!AC18*s_RadSpec!S18*1</f>
        <v>8.0590117844110784E-2</v>
      </c>
      <c r="W18" s="43">
        <f>s_C*s_EF_iw*(1/365)*s_ED_ind*(s_ET_iw_o+s_ET_iw_i)*(1/24)*s_RadSpec!AD18*s_RadSpec!T18*1</f>
        <v>9.7270200516180252E-2</v>
      </c>
      <c r="X18" s="43">
        <f>s_C*s_EF_iw*(1/365)*s_ED_ind*(s_ET_iw_o+s_ET_iw_i)*(1/24)*s_RadSpec!Z18*s_RadSpec!P18*1</f>
        <v>3.3201764569305792E-2</v>
      </c>
      <c r="Y18" s="11"/>
      <c r="Z18" s="11"/>
      <c r="AA18" s="11"/>
      <c r="AB18" s="11"/>
      <c r="AC18" s="11"/>
      <c r="AD18" s="22">
        <f>IFERROR(s_TR/(s_RadSpec!G18*s_EF_iw*s_ED_ind*(s_ET_iw_o+s_ET_iw_i)*(1/24)*s_IRA_iw),".")</f>
        <v>0.10028581457152887</v>
      </c>
      <c r="AE18" s="22">
        <f>IFERROR(s_TR/(s_RadSpec!J18*s_EF_iw*(1/365)*s_ED_ind*(s_ET_iw_o+s_ET_iw_i)*(1/24)*s_GSF_a),".")</f>
        <v>762048643.84690726</v>
      </c>
      <c r="AF18" s="22">
        <f t="shared" si="6"/>
        <v>0.10028581455833123</v>
      </c>
      <c r="AG18" s="43">
        <f t="shared" si="4"/>
        <v>34375</v>
      </c>
      <c r="AH18" s="43">
        <f t="shared" si="5"/>
        <v>1.5696347031963471</v>
      </c>
      <c r="AI18" s="10"/>
      <c r="AJ18" s="10"/>
      <c r="AK18" s="10"/>
    </row>
    <row r="19" spans="1:37" x14ac:dyDescent="0.25">
      <c r="A19" s="23" t="s">
        <v>29</v>
      </c>
      <c r="B19" s="24" t="s">
        <v>289</v>
      </c>
      <c r="C19" s="2"/>
      <c r="D19" s="22" t="str">
        <f>IFERROR((s_TR/(s_RadSpec!I19*s_EF_iw*s_ED_ind*s_IRS_iw*(1/1000)))*1,".")</f>
        <v>.</v>
      </c>
      <c r="E19" s="22" t="str">
        <f>IFERROR(IF(A19="H-3",(s_TR/(s_RadSpec!G19*s_EF_iw*s_ED_ind*(s_ET_iw_o+s_ET_iw_i)*(1/24)*s_IRA_iw*(1/17)*1000))*1,(s_TR/(s_RadSpec!G19*s_EF_iw*s_ED_ind*(s_ET_iw_o+s_ET_iw_i)*(1/24)*s_IRA_iw*(1/s_PEF_wind)*1000))*1),".")</f>
        <v>.</v>
      </c>
      <c r="F19" s="22">
        <f>IFERROR((s_TR/(s_RadSpec!F19*s_EF_iw*(1/365)*s_ED_ind*s_RadSpec!Q19*(s_ET_iw_o+s_ET_iw_i)*(1/24)*s_RadSpec!AA19))*1,".")</f>
        <v>2643779.7444934524</v>
      </c>
      <c r="G19" s="22">
        <f t="shared" si="0"/>
        <v>2643779.7444934524</v>
      </c>
      <c r="H19" s="43">
        <f t="shared" si="1"/>
        <v>137.5</v>
      </c>
      <c r="I19" s="43">
        <f t="shared" si="2"/>
        <v>0.11080293013295324</v>
      </c>
      <c r="J19" s="43">
        <f>s_C*s_EF_iw*(1/365)*s_ED_ind*(s_ET_iw_o+s_ET_iw_i)*(1/24)*s_RadSpec!AA19*s_RadSpec!Q19*1</f>
        <v>0.10944031311154599</v>
      </c>
      <c r="K19" s="4"/>
      <c r="L19" s="4"/>
      <c r="M19" s="4"/>
      <c r="N19" s="4"/>
      <c r="O19" s="22">
        <f>IFERROR((s_TR/(s_RadSpec!F19*s_EF_iw*(1/365)*s_ED_ind*s_RadSpec!Q19*(s_ET_iw_o+s_ET_iw_i)*(1/24)*s_RadSpec!AA19))*1,".")</f>
        <v>2643779.7444934524</v>
      </c>
      <c r="P19" s="22">
        <f>IFERROR((s_TR/(s_RadSpec!M19*s_EF_iw*(1/365)*s_ED_ind*s_RadSpec!R19*(s_ET_iw_o+s_ET_iw_i)*(1/24)*s_RadSpec!AB19))*1,".")</f>
        <v>26218411.146219816</v>
      </c>
      <c r="Q19" s="22">
        <f>IFERROR((s_TR/(s_RadSpec!N19*s_EF_iw*(1/365)*s_ED_ind*s_RadSpec!S19*(s_ET_iw_o+s_ET_iw_i)*(1/24)*s_RadSpec!AC19))*1,".")</f>
        <v>6453546.4114054553</v>
      </c>
      <c r="R19" s="22">
        <f>IFERROR((s_TR/(s_RadSpec!O19*s_EF_iw*(1/365)*s_ED_ind*s_RadSpec!T19*(s_ET_iw_o+s_ET_iw_i)*(1/24)*s_RadSpec!AD19))*1,".")</f>
        <v>3456251.0282583535</v>
      </c>
      <c r="S19" s="22">
        <f>IFERROR((s_TR/(s_RadSpec!K19*s_EF_iw*(1/365)*s_ED_ind*s_RadSpec!P19*(s_ET_iw_o+s_ET_iw_i)*(1/24)*s_RadSpec!Z19))*1,".")</f>
        <v>46402959.544211902</v>
      </c>
      <c r="T19" s="43">
        <f>s_C*s_EF_iw*(1/365)*s_ED_ind*(s_ET_iw_o+s_ET_iw_i)*(1/24)*s_RadSpec!AA19*s_RadSpec!Q19*1</f>
        <v>0.10944031311154599</v>
      </c>
      <c r="U19" s="43">
        <f>s_C*s_EF_iw*(1/365)*s_ED_ind*(s_ET_iw_o+s_ET_iw_i)*(1/24)*s_RadSpec!AB19*s_RadSpec!R19*1</f>
        <v>5.5178035278663919E-2</v>
      </c>
      <c r="V19" s="43">
        <f>s_C*s_EF_iw*(1/365)*s_ED_ind*(s_ET_iw_o+s_ET_iw_i)*(1/24)*s_RadSpec!AC19*s_RadSpec!S19*1</f>
        <v>7.9599102236668967E-2</v>
      </c>
      <c r="W19" s="43">
        <f>s_C*s_EF_iw*(1/365)*s_ED_ind*(s_ET_iw_o+s_ET_iw_i)*(1/24)*s_RadSpec!AD19*s_RadSpec!T19*1</f>
        <v>9.530499941458849E-2</v>
      </c>
      <c r="X19" s="43">
        <f>s_C*s_EF_iw*(1/365)*s_ED_ind*(s_ET_iw_o+s_ET_iw_i)*(1/24)*s_RadSpec!Z19*s_RadSpec!P19*1</f>
        <v>3.2042481705250134E-2</v>
      </c>
      <c r="Y19" s="11"/>
      <c r="Z19" s="11"/>
      <c r="AA19" s="11"/>
      <c r="AB19" s="11"/>
      <c r="AC19" s="11"/>
      <c r="AD19" s="22" t="str">
        <f>IFERROR(s_TR/(s_RadSpec!G19*s_EF_iw*s_ED_ind*(s_ET_iw_o+s_ET_iw_i)*(1/24)*s_IRA_iw),".")</f>
        <v>.</v>
      </c>
      <c r="AE19" s="22">
        <f>IFERROR(s_TR/(s_RadSpec!J19*s_EF_iw*(1/365)*s_ED_ind*(s_ET_iw_o+s_ET_iw_i)*(1/24)*s_GSF_a),".")</f>
        <v>197690880.0704295</v>
      </c>
      <c r="AF19" s="22">
        <f t="shared" si="6"/>
        <v>197690880.0704295</v>
      </c>
      <c r="AG19" s="43">
        <f t="shared" si="4"/>
        <v>34375</v>
      </c>
      <c r="AH19" s="43">
        <f t="shared" si="5"/>
        <v>1.5696347031963471</v>
      </c>
      <c r="AI19" s="10"/>
      <c r="AJ19" s="10"/>
      <c r="AK19" s="10"/>
    </row>
    <row r="20" spans="1:37" x14ac:dyDescent="0.25">
      <c r="A20" s="23" t="s">
        <v>30</v>
      </c>
      <c r="B20" s="24" t="s">
        <v>289</v>
      </c>
      <c r="C20" s="109"/>
      <c r="D20" s="22" t="str">
        <f>IFERROR((s_TR/(s_RadSpec!I20*s_EF_iw*s_ED_ind*s_IRS_iw*(1/1000)))*1,".")</f>
        <v>.</v>
      </c>
      <c r="E20" s="22" t="str">
        <f>IFERROR(IF(A20="H-3",(s_TR/(s_RadSpec!G20*s_EF_iw*s_ED_ind*(s_ET_iw_o+s_ET_iw_i)*(1/24)*s_IRA_iw*(1/17)*1000))*1,(s_TR/(s_RadSpec!G20*s_EF_iw*s_ED_ind*(s_ET_iw_o+s_ET_iw_i)*(1/24)*s_IRA_iw*(1/s_PEF_wind)*1000))*1),".")</f>
        <v>.</v>
      </c>
      <c r="F20" s="22">
        <f>IFERROR((s_TR/(s_RadSpec!F20*s_EF_iw*(1/365)*s_ED_ind*s_RadSpec!Q20*(s_ET_iw_o+s_ET_iw_i)*(1/24)*s_RadSpec!AA20))*1,".")</f>
        <v>1165900.1121814691</v>
      </c>
      <c r="G20" s="22">
        <f t="shared" si="0"/>
        <v>1165900.1121814691</v>
      </c>
      <c r="H20" s="43">
        <f t="shared" si="1"/>
        <v>137.5</v>
      </c>
      <c r="I20" s="43">
        <f t="shared" si="2"/>
        <v>0.11080293013295324</v>
      </c>
      <c r="J20" s="43">
        <f>s_C*s_EF_iw*(1/365)*s_ED_ind*(s_ET_iw_o+s_ET_iw_i)*(1/24)*s_RadSpec!AA20*s_RadSpec!Q20*1</f>
        <v>0.1112984277173658</v>
      </c>
      <c r="K20" s="4"/>
      <c r="L20" s="4"/>
      <c r="M20" s="4"/>
      <c r="N20" s="4"/>
      <c r="O20" s="22">
        <f>IFERROR((s_TR/(s_RadSpec!F20*s_EF_iw*(1/365)*s_ED_ind*s_RadSpec!Q20*(s_ET_iw_o+s_ET_iw_i)*(1/24)*s_RadSpec!AA20))*1,".")</f>
        <v>1165900.1121814691</v>
      </c>
      <c r="P20" s="22">
        <f>IFERROR((s_TR/(s_RadSpec!M20*s_EF_iw*(1/365)*s_ED_ind*s_RadSpec!R20*(s_ET_iw_o+s_ET_iw_i)*(1/24)*s_RadSpec!AB20))*1,".")</f>
        <v>11623124.943171203</v>
      </c>
      <c r="Q20" s="22">
        <f>IFERROR((s_TR/(s_RadSpec!N20*s_EF_iw*(1/365)*s_ED_ind*s_RadSpec!S20*(s_ET_iw_o+s_ET_iw_i)*(1/24)*s_RadSpec!AC20))*1,".")</f>
        <v>2885254.94608285</v>
      </c>
      <c r="R20" s="22">
        <f>IFERROR((s_TR/(s_RadSpec!O20*s_EF_iw*(1/365)*s_ED_ind*s_RadSpec!T20*(s_ET_iw_o+s_ET_iw_i)*(1/24)*s_RadSpec!AD20))*1,".")</f>
        <v>1542469.0418684713</v>
      </c>
      <c r="S20" s="22">
        <f>IFERROR((s_TR/(s_RadSpec!K20*s_EF_iw*(1/365)*s_ED_ind*s_RadSpec!P20*(s_ET_iw_o+s_ET_iw_i)*(1/24)*s_RadSpec!Z20))*1,".")</f>
        <v>20328520.489989161</v>
      </c>
      <c r="T20" s="43">
        <f>s_C*s_EF_iw*(1/365)*s_ED_ind*(s_ET_iw_o+s_ET_iw_i)*(1/24)*s_RadSpec!AA20*s_RadSpec!Q20*1</f>
        <v>0.1112984277173658</v>
      </c>
      <c r="U20" s="43">
        <f>s_C*s_EF_iw*(1/365)*s_ED_ind*(s_ET_iw_o+s_ET_iw_i)*(1/24)*s_RadSpec!AB20*s_RadSpec!R20*1</f>
        <v>5.6436654471198847E-2</v>
      </c>
      <c r="V20" s="43">
        <f>s_C*s_EF_iw*(1/365)*s_ED_ind*(s_ET_iw_o+s_ET_iw_i)*(1/24)*s_RadSpec!AC20*s_RadSpec!S20*1</f>
        <v>8.0660757453666396E-2</v>
      </c>
      <c r="W20" s="43">
        <f>s_C*s_EF_iw*(1/365)*s_ED_ind*(s_ET_iw_o+s_ET_iw_i)*(1/24)*s_RadSpec!AD20*s_RadSpec!T20*1</f>
        <v>9.6061643835616412E-2</v>
      </c>
      <c r="X20" s="43">
        <f>s_C*s_EF_iw*(1/365)*s_ED_ind*(s_ET_iw_o+s_ET_iw_i)*(1/24)*s_RadSpec!Z20*s_RadSpec!P20*1</f>
        <v>3.3120846331208459E-2</v>
      </c>
      <c r="Y20" s="11"/>
      <c r="Z20" s="11"/>
      <c r="AA20" s="11"/>
      <c r="AB20" s="11"/>
      <c r="AC20" s="11"/>
      <c r="AD20" s="22" t="str">
        <f>IFERROR(s_TR/(s_RadSpec!G20*s_EF_iw*s_ED_ind*(s_ET_iw_o+s_ET_iw_i)*(1/24)*s_IRA_iw),".")</f>
        <v>.</v>
      </c>
      <c r="AE20" s="22">
        <f>IFERROR(s_TR/(s_RadSpec!J20*s_EF_iw*(1/365)*s_ED_ind*(s_ET_iw_o+s_ET_iw_i)*(1/24)*s_GSF_a),".")</f>
        <v>89154710.619997621</v>
      </c>
      <c r="AF20" s="22">
        <f t="shared" si="6"/>
        <v>89154710.619997621</v>
      </c>
      <c r="AG20" s="43">
        <f t="shared" si="4"/>
        <v>34375</v>
      </c>
      <c r="AH20" s="43">
        <f t="shared" si="5"/>
        <v>1.5696347031963471</v>
      </c>
      <c r="AI20" s="10"/>
      <c r="AJ20" s="10"/>
      <c r="AK20" s="10"/>
    </row>
    <row r="21" spans="1:37" x14ac:dyDescent="0.25">
      <c r="A21" s="23" t="s">
        <v>31</v>
      </c>
      <c r="B21" s="24" t="s">
        <v>289</v>
      </c>
      <c r="C21" s="109"/>
      <c r="D21" s="22" t="str">
        <f>IFERROR((s_TR/(s_RadSpec!I21*s_EF_iw*s_ED_ind*s_IRS_iw*(1/1000)))*1,".")</f>
        <v>.</v>
      </c>
      <c r="E21" s="22">
        <f>IFERROR(IF(A21="H-3",(s_TR/(s_RadSpec!G21*s_EF_iw*s_ED_ind*(s_ET_iw_o+s_ET_iw_i)*(1/24)*s_IRA_iw*(1/17)*1000))*1,(s_TR/(s_RadSpec!G21*s_EF_iw*s_ED_ind*(s_ET_iw_o+s_ET_iw_i)*(1/24)*s_IRA_iw*(1/s_PEF_wind)*1000))*1),".")</f>
        <v>32464144.20486949</v>
      </c>
      <c r="F21" s="22" t="str">
        <f>IFERROR((s_TR/(s_RadSpec!F21*s_EF_iw*(1/365)*s_ED_ind*s_RadSpec!Q21*(s_ET_iw_o+s_ET_iw_i)*(1/24)*s_RadSpec!AA21))*1,".")</f>
        <v>.</v>
      </c>
      <c r="G21" s="22">
        <f t="shared" si="0"/>
        <v>32464144.204869494</v>
      </c>
      <c r="H21" s="43">
        <f t="shared" si="1"/>
        <v>137.5</v>
      </c>
      <c r="I21" s="43">
        <f t="shared" si="2"/>
        <v>0.11080293013295324</v>
      </c>
      <c r="J21" s="43">
        <f>s_C*s_EF_iw*(1/365)*s_ED_ind*(s_ET_iw_o+s_ET_iw_i)*(1/24)*s_RadSpec!AA21*s_RadSpec!Q21*1</f>
        <v>0</v>
      </c>
      <c r="K21" s="4"/>
      <c r="L21" s="4"/>
      <c r="M21" s="4"/>
      <c r="N21" s="4"/>
      <c r="O21" s="22" t="str">
        <f>IFERROR((s_TR/(s_RadSpec!F21*s_EF_iw*(1/365)*s_ED_ind*s_RadSpec!Q21*(s_ET_iw_o+s_ET_iw_i)*(1/24)*s_RadSpec!AA21))*1,".")</f>
        <v>.</v>
      </c>
      <c r="P21" s="22" t="str">
        <f>IFERROR((s_TR/(s_RadSpec!M21*s_EF_iw*(1/365)*s_ED_ind*s_RadSpec!R21*(s_ET_iw_o+s_ET_iw_i)*(1/24)*s_RadSpec!AB21))*1,".")</f>
        <v>.</v>
      </c>
      <c r="Q21" s="22" t="str">
        <f>IFERROR((s_TR/(s_RadSpec!N21*s_EF_iw*(1/365)*s_ED_ind*s_RadSpec!S21*(s_ET_iw_o+s_ET_iw_i)*(1/24)*s_RadSpec!AC21))*1,".")</f>
        <v>.</v>
      </c>
      <c r="R21" s="22" t="str">
        <f>IFERROR((s_TR/(s_RadSpec!O21*s_EF_iw*(1/365)*s_ED_ind*s_RadSpec!T21*(s_ET_iw_o+s_ET_iw_i)*(1/24)*s_RadSpec!AD21))*1,".")</f>
        <v>.</v>
      </c>
      <c r="S21" s="22" t="str">
        <f>IFERROR((s_TR/(s_RadSpec!K21*s_EF_iw*(1/365)*s_ED_ind*s_RadSpec!P21*(s_ET_iw_o+s_ET_iw_i)*(1/24)*s_RadSpec!Z21))*1,".")</f>
        <v>.</v>
      </c>
      <c r="T21" s="43">
        <f>s_C*s_EF_iw*(1/365)*s_ED_ind*(s_ET_iw_o+s_ET_iw_i)*(1/24)*s_RadSpec!AA21*s_RadSpec!Q21*1</f>
        <v>0</v>
      </c>
      <c r="U21" s="43">
        <f>s_C*s_EF_iw*(1/365)*s_ED_ind*(s_ET_iw_o+s_ET_iw_i)*(1/24)*s_RadSpec!AB21*s_RadSpec!R21*1</f>
        <v>0</v>
      </c>
      <c r="V21" s="43">
        <f>s_C*s_EF_iw*(1/365)*s_ED_ind*(s_ET_iw_o+s_ET_iw_i)*(1/24)*s_RadSpec!AC21*s_RadSpec!S21*1</f>
        <v>0</v>
      </c>
      <c r="W21" s="43">
        <f>s_C*s_EF_iw*(1/365)*s_ED_ind*(s_ET_iw_o+s_ET_iw_i)*(1/24)*s_RadSpec!AD21*s_RadSpec!T21*1</f>
        <v>0</v>
      </c>
      <c r="X21" s="43">
        <f>s_C*s_EF_iw*(1/365)*s_ED_ind*(s_ET_iw_o+s_ET_iw_i)*(1/24)*s_RadSpec!Z21*s_RadSpec!P21*1</f>
        <v>0</v>
      </c>
      <c r="Y21" s="11"/>
      <c r="Z21" s="11"/>
      <c r="AA21" s="11"/>
      <c r="AB21" s="11"/>
      <c r="AC21" s="11"/>
      <c r="AD21" s="22">
        <f>IFERROR(s_TR/(s_RadSpec!G21*s_EF_iw*s_ED_ind*(s_ET_iw_o+s_ET_iw_i)*(1/24)*s_IRA_iw),".")</f>
        <v>104.64355788096796</v>
      </c>
      <c r="AE21" s="22">
        <f>IFERROR(s_TR/(s_RadSpec!J21*s_EF_iw*(1/365)*s_ED_ind*(s_ET_iw_o+s_ET_iw_i)*(1/24)*s_GSF_a),".")</f>
        <v>807140279577.49329</v>
      </c>
      <c r="AF21" s="22">
        <f t="shared" si="6"/>
        <v>104.64355786740121</v>
      </c>
      <c r="AG21" s="43">
        <f t="shared" si="4"/>
        <v>34375</v>
      </c>
      <c r="AH21" s="43">
        <f t="shared" si="5"/>
        <v>1.5696347031963471</v>
      </c>
      <c r="AI21" s="10"/>
      <c r="AJ21" s="10"/>
      <c r="AK21" s="10"/>
    </row>
    <row r="22" spans="1:37" x14ac:dyDescent="0.25">
      <c r="A22" s="23" t="s">
        <v>32</v>
      </c>
      <c r="B22" s="24" t="s">
        <v>289</v>
      </c>
      <c r="C22" s="2"/>
      <c r="D22" s="22">
        <f>IFERROR((s_TR/(s_RadSpec!I22*s_EF_iw*s_ED_ind*s_IRS_iw*(1/1000)))*1,".")</f>
        <v>4889.5571283631007</v>
      </c>
      <c r="E22" s="22">
        <f>IFERROR(IF(A22="H-3",(s_TR/(s_RadSpec!G22*s_EF_iw*s_ED_ind*(s_ET_iw_o+s_ET_iw_i)*(1/24)*s_IRA_iw*(1/17)*1000))*1,(s_TR/(s_RadSpec!G22*s_EF_iw*s_ED_ind*(s_ET_iw_o+s_ET_iw_i)*(1/24)*s_IRA_iw*(1/s_PEF_wind)*1000))*1),".")</f>
        <v>17250.33848570993</v>
      </c>
      <c r="F22" s="22">
        <f>IFERROR((s_TR/(s_RadSpec!F22*s_EF_iw*(1/365)*s_ED_ind*s_RadSpec!Q22*(s_ET_iw_o+s_ET_iw_i)*(1/24)*s_RadSpec!AA22))*1,".")</f>
        <v>312873892913.53723</v>
      </c>
      <c r="G22" s="22">
        <f t="shared" si="0"/>
        <v>3809.7069630635656</v>
      </c>
      <c r="H22" s="43">
        <f t="shared" si="1"/>
        <v>137.5</v>
      </c>
      <c r="I22" s="43">
        <f t="shared" si="2"/>
        <v>0.11080293013295324</v>
      </c>
      <c r="J22" s="43">
        <f>s_C*s_EF_iw*(1/365)*s_ED_ind*(s_ET_iw_o+s_ET_iw_i)*(1/24)*s_RadSpec!AA22*s_RadSpec!Q22*1</f>
        <v>2.616937185833237E-8</v>
      </c>
      <c r="K22" s="4"/>
      <c r="L22" s="4"/>
      <c r="M22" s="4"/>
      <c r="N22" s="4"/>
      <c r="O22" s="22">
        <f>IFERROR((s_TR/(s_RadSpec!F22*s_EF_iw*(1/365)*s_ED_ind*s_RadSpec!Q22*(s_ET_iw_o+s_ET_iw_i)*(1/24)*s_RadSpec!AA22))*1,".")</f>
        <v>312873892913.53723</v>
      </c>
      <c r="P22" s="22">
        <f>IFERROR((s_TR/(s_RadSpec!M22*s_EF_iw*(1/365)*s_ED_ind*s_RadSpec!R22*(s_ET_iw_o+s_ET_iw_i)*(1/24)*s_RadSpec!AB22))*1,".")</f>
        <v>393750938410.32318</v>
      </c>
      <c r="Q22" s="22">
        <f>IFERROR((s_TR/(s_RadSpec!N22*s_EF_iw*(1/365)*s_ED_ind*s_RadSpec!S22*(s_ET_iw_o+s_ET_iw_i)*(1/24)*s_RadSpec!AC22))*1,".")</f>
        <v>221527583580.02179</v>
      </c>
      <c r="R22" s="22">
        <f>IFERROR((s_TR/(s_RadSpec!O22*s_EF_iw*(1/365)*s_ED_ind*s_RadSpec!T22*(s_ET_iw_o+s_ET_iw_i)*(1/24)*s_RadSpec!AD22))*1,".")</f>
        <v>227403489544.61642</v>
      </c>
      <c r="S22" s="22">
        <f>IFERROR((s_TR/(s_RadSpec!K22*s_EF_iw*(1/365)*s_ED_ind*s_RadSpec!P22*(s_ET_iw_o+s_ET_iw_i)*(1/24)*s_RadSpec!Z22))*1,".")</f>
        <v>1112670412367.2112</v>
      </c>
      <c r="T22" s="43">
        <f>s_C*s_EF_iw*(1/365)*s_ED_ind*(s_ET_iw_o+s_ET_iw_i)*(1/24)*s_RadSpec!AA22*s_RadSpec!Q22*1</f>
        <v>2.616937185833237E-8</v>
      </c>
      <c r="U22" s="43">
        <f>s_C*s_EF_iw*(1/365)*s_ED_ind*(s_ET_iw_o+s_ET_iw_i)*(1/24)*s_RadSpec!AB22*s_RadSpec!R22*1</f>
        <v>2.8559182495628984E-8</v>
      </c>
      <c r="V22" s="43">
        <f>s_C*s_EF_iw*(1/365)*s_ED_ind*(s_ET_iw_o+s_ET_iw_i)*(1/24)*s_RadSpec!AC22*s_RadSpec!S22*1</f>
        <v>3.717347484470772E-8</v>
      </c>
      <c r="W22" s="43">
        <f>s_C*s_EF_iw*(1/365)*s_ED_ind*(s_ET_iw_o+s_ET_iw_i)*(1/24)*s_RadSpec!AD22*s_RadSpec!T22*1</f>
        <v>3.607419806647766E-8</v>
      </c>
      <c r="X22" s="43">
        <f>s_C*s_EF_iw*(1/365)*s_ED_ind*(s_ET_iw_o+s_ET_iw_i)*(1/24)*s_RadSpec!Z22*s_RadSpec!P22*1</f>
        <v>5.0839572973625212E-9</v>
      </c>
      <c r="Y22" s="11"/>
      <c r="Z22" s="11"/>
      <c r="AA22" s="11"/>
      <c r="AB22" s="11"/>
      <c r="AC22" s="11"/>
      <c r="AD22" s="22">
        <f>IFERROR(s_TR/(s_RadSpec!G22*s_EF_iw*s_ED_ind*(s_ET_iw_o+s_ET_iw_i)*(1/24)*s_IRA_iw),".")</f>
        <v>5.5604016000055607E-2</v>
      </c>
      <c r="AE22" s="22">
        <f>IFERROR(s_TR/(s_RadSpec!J22*s_EF_iw*(1/365)*s_ED_ind*(s_ET_iw_o+s_ET_iw_i)*(1/24)*s_GSF_a),".")</f>
        <v>1726667.1803619796</v>
      </c>
      <c r="AF22" s="22">
        <f t="shared" si="6"/>
        <v>5.5604014209434623E-2</v>
      </c>
      <c r="AG22" s="43">
        <f t="shared" si="4"/>
        <v>34375</v>
      </c>
      <c r="AH22" s="43">
        <f t="shared" si="5"/>
        <v>1.5696347031963471</v>
      </c>
      <c r="AI22" s="10"/>
      <c r="AJ22" s="10"/>
      <c r="AK22" s="10"/>
    </row>
    <row r="23" spans="1:37" x14ac:dyDescent="0.25">
      <c r="A23" s="25" t="s">
        <v>33</v>
      </c>
      <c r="B23" s="24" t="s">
        <v>275</v>
      </c>
      <c r="C23" s="109"/>
      <c r="D23" s="22">
        <f>IFERROR((s_TR/(s_RadSpec!I23*s_EF_iw*s_ED_ind*s_IRS_iw*(1/1000)))*1,".")</f>
        <v>1234.6746015087724</v>
      </c>
      <c r="E23" s="22">
        <f>IFERROR(IF(A23="H-3",(s_TR/(s_RadSpec!G23*s_EF_iw*s_ED_ind*(s_ET_iw_o+s_ET_iw_i)*(1/24)*s_IRA_iw*(1/17)*1000))*1,(s_TR/(s_RadSpec!G23*s_EF_iw*s_ED_ind*(s_ET_iw_o+s_ET_iw_i)*(1/24)*s_IRA_iw*(1/s_PEF_wind)*1000))*1),".")</f>
        <v>16026.267160836949</v>
      </c>
      <c r="F23" s="22">
        <f>IFERROR((s_TR/(s_RadSpec!F23*s_EF_iw*(1/365)*s_ED_ind*s_RadSpec!Q23*(s_ET_iw_o+s_ET_iw_i)*(1/24)*s_RadSpec!AA23))*1,".")</f>
        <v>17510.851899855999</v>
      </c>
      <c r="G23" s="22">
        <f t="shared" si="0"/>
        <v>1075.922461615083</v>
      </c>
      <c r="H23" s="43">
        <f t="shared" si="1"/>
        <v>137.5</v>
      </c>
      <c r="I23" s="43">
        <f t="shared" si="2"/>
        <v>0.11080293013295324</v>
      </c>
      <c r="J23" s="43">
        <f>s_C*s_EF_iw*(1/365)*s_ED_ind*(s_ET_iw_o+s_ET_iw_i)*(1/24)*s_RadSpec!AA23*s_RadSpec!Q23*1</f>
        <v>0.11427290418590459</v>
      </c>
      <c r="K23" s="4"/>
      <c r="L23" s="4"/>
      <c r="M23" s="4"/>
      <c r="N23" s="4"/>
      <c r="O23" s="22">
        <f>IFERROR((s_TR/(s_RadSpec!F23*s_EF_iw*(1/365)*s_ED_ind*s_RadSpec!Q23*(s_ET_iw_o+s_ET_iw_i)*(1/24)*s_RadSpec!AA23))*1,".")</f>
        <v>17510.851899855999</v>
      </c>
      <c r="P23" s="22">
        <f>IFERROR((s_TR/(s_RadSpec!M23*s_EF_iw*(1/365)*s_ED_ind*s_RadSpec!R23*(s_ET_iw_o+s_ET_iw_i)*(1/24)*s_RadSpec!AB23))*1,".")</f>
        <v>122977.58488276285</v>
      </c>
      <c r="Q23" s="22">
        <f>IFERROR((s_TR/(s_RadSpec!N23*s_EF_iw*(1/365)*s_ED_ind*s_RadSpec!S23*(s_ET_iw_o+s_ET_iw_i)*(1/24)*s_RadSpec!AC23))*1,".")</f>
        <v>31805.402407971869</v>
      </c>
      <c r="R23" s="22">
        <f>IFERROR((s_TR/(s_RadSpec!O23*s_EF_iw*(1/365)*s_ED_ind*s_RadSpec!T23*(s_ET_iw_o+s_ET_iw_i)*(1/24)*s_RadSpec!AD23))*1,".")</f>
        <v>18557.019820643254</v>
      </c>
      <c r="S23" s="22">
        <f>IFERROR((s_TR/(s_RadSpec!K23*s_EF_iw*(1/365)*s_ED_ind*s_RadSpec!P23*(s_ET_iw_o+s_ET_iw_i)*(1/24)*s_RadSpec!Z23))*1,".")</f>
        <v>196263.55535010042</v>
      </c>
      <c r="T23" s="43">
        <f>s_C*s_EF_iw*(1/365)*s_ED_ind*(s_ET_iw_o+s_ET_iw_i)*(1/24)*s_RadSpec!AA23*s_RadSpec!Q23*1</f>
        <v>0.11427290418590459</v>
      </c>
      <c r="U23" s="43">
        <f>s_C*s_EF_iw*(1/365)*s_ED_ind*(s_ET_iw_o+s_ET_iw_i)*(1/24)*s_RadSpec!AB23*s_RadSpec!R23*1</f>
        <v>6.4197582268115616E-2</v>
      </c>
      <c r="V23" s="43">
        <f>s_C*s_EF_iw*(1/365)*s_ED_ind*(s_ET_iw_o+s_ET_iw_i)*(1/24)*s_RadSpec!AC23*s_RadSpec!S23*1</f>
        <v>9.078670777423542E-2</v>
      </c>
      <c r="W23" s="43">
        <f>s_C*s_EF_iw*(1/365)*s_ED_ind*(s_ET_iw_o+s_ET_iw_i)*(1/24)*s_RadSpec!AD23*s_RadSpec!T23*1</f>
        <v>0.11094117125504281</v>
      </c>
      <c r="X23" s="43">
        <f>s_C*s_EF_iw*(1/365)*s_ED_ind*(s_ET_iw_o+s_ET_iw_i)*(1/24)*s_RadSpec!Z23*s_RadSpec!P23*1</f>
        <v>4.0782220576741135E-2</v>
      </c>
      <c r="Y23" s="11"/>
      <c r="Z23" s="11"/>
      <c r="AA23" s="11"/>
      <c r="AB23" s="11"/>
      <c r="AC23" s="11"/>
      <c r="AD23" s="22">
        <f>IFERROR(s_TR/(s_RadSpec!G23*s_EF_iw*s_ED_ind*(s_ET_iw_o+s_ET_iw_i)*(1/24)*s_IRA_iw),".")</f>
        <v>5.1658395942232996E-2</v>
      </c>
      <c r="AE23" s="22">
        <f>IFERROR(s_TR/(s_RadSpec!J23*s_EF_iw*(1/365)*s_ED_ind*(s_ET_iw_o+s_ET_iw_i)*(1/24)*s_GSF_a),".")</f>
        <v>1118087.7643327571</v>
      </c>
      <c r="AF23" s="22">
        <f t="shared" si="6"/>
        <v>5.1658393555488562E-2</v>
      </c>
      <c r="AG23" s="43">
        <f t="shared" si="4"/>
        <v>34375</v>
      </c>
      <c r="AH23" s="43">
        <f t="shared" si="5"/>
        <v>1.5696347031963471</v>
      </c>
      <c r="AI23" s="10"/>
      <c r="AJ23" s="10"/>
      <c r="AK23" s="10"/>
    </row>
    <row r="24" spans="1:37" x14ac:dyDescent="0.25">
      <c r="A24" s="23" t="s">
        <v>34</v>
      </c>
      <c r="B24" s="24" t="s">
        <v>289</v>
      </c>
      <c r="C24" s="109"/>
      <c r="D24" s="22" t="str">
        <f>IFERROR((s_TR/(s_RadSpec!I24*s_EF_iw*s_ED_ind*s_IRS_iw*(1/1000)))*1,".")</f>
        <v>.</v>
      </c>
      <c r="E24" s="22" t="str">
        <f>IFERROR(IF(A24="H-3",(s_TR/(s_RadSpec!G24*s_EF_iw*s_ED_ind*(s_ET_iw_o+s_ET_iw_i)*(1/24)*s_IRA_iw*(1/17)*1000))*1,(s_TR/(s_RadSpec!G24*s_EF_iw*s_ED_ind*(s_ET_iw_o+s_ET_iw_i)*(1/24)*s_IRA_iw*(1/s_PEF_wind)*1000))*1),".")</f>
        <v>.</v>
      </c>
      <c r="F24" s="22">
        <f>IFERROR((s_TR/(s_RadSpec!F24*s_EF_iw*(1/365)*s_ED_ind*s_RadSpec!Q24*(s_ET_iw_o+s_ET_iw_i)*(1/24)*s_RadSpec!AA24))*1,".")</f>
        <v>169394.54395884855</v>
      </c>
      <c r="G24" s="22">
        <f t="shared" si="0"/>
        <v>169394.54395884855</v>
      </c>
      <c r="H24" s="43">
        <f t="shared" si="1"/>
        <v>137.5</v>
      </c>
      <c r="I24" s="43">
        <f t="shared" si="2"/>
        <v>0.11080293013295324</v>
      </c>
      <c r="J24" s="43">
        <f>s_C*s_EF_iw*(1/365)*s_ED_ind*(s_ET_iw_o+s_ET_iw_i)*(1/24)*s_RadSpec!AA24*s_RadSpec!Q24*1</f>
        <v>8.7169970153822579E-2</v>
      </c>
      <c r="K24" s="4"/>
      <c r="L24" s="4"/>
      <c r="M24" s="4"/>
      <c r="N24" s="4"/>
      <c r="O24" s="22">
        <f>IFERROR((s_TR/(s_RadSpec!F24*s_EF_iw*(1/365)*s_ED_ind*s_RadSpec!Q24*(s_ET_iw_o+s_ET_iw_i)*(1/24)*s_RadSpec!AA24))*1,".")</f>
        <v>169394.54395884855</v>
      </c>
      <c r="P24" s="22">
        <f>IFERROR((s_TR/(s_RadSpec!M24*s_EF_iw*(1/365)*s_ED_ind*s_RadSpec!R24*(s_ET_iw_o+s_ET_iw_i)*(1/24)*s_RadSpec!AB24))*1,".")</f>
        <v>1492347.5943466388</v>
      </c>
      <c r="Q24" s="22">
        <f>IFERROR((s_TR/(s_RadSpec!N24*s_EF_iw*(1/365)*s_ED_ind*s_RadSpec!S24*(s_ET_iw_o+s_ET_iw_i)*(1/24)*s_RadSpec!AC24))*1,".")</f>
        <v>374312.19060007558</v>
      </c>
      <c r="R24" s="22">
        <f>IFERROR((s_TR/(s_RadSpec!O24*s_EF_iw*(1/365)*s_ED_ind*s_RadSpec!T24*(s_ET_iw_o+s_ET_iw_i)*(1/24)*s_RadSpec!AD24))*1,".")</f>
        <v>201971.5051298778</v>
      </c>
      <c r="S24" s="22">
        <f>IFERROR((s_TR/(s_RadSpec!K24*s_EF_iw*(1/365)*s_ED_ind*s_RadSpec!P24*(s_ET_iw_o+s_ET_iw_i)*(1/24)*s_RadSpec!Z24))*1,".")</f>
        <v>2539001.0632384387</v>
      </c>
      <c r="T24" s="43">
        <f>s_C*s_EF_iw*(1/365)*s_ED_ind*(s_ET_iw_o+s_ET_iw_i)*(1/24)*s_RadSpec!AA24*s_RadSpec!Q24*1</f>
        <v>8.7169970153822579E-2</v>
      </c>
      <c r="U24" s="43">
        <f>s_C*s_EF_iw*(1/365)*s_ED_ind*(s_ET_iw_o+s_ET_iw_i)*(1/24)*s_RadSpec!AB24*s_RadSpec!R24*1</f>
        <v>4.8080116230801162E-2</v>
      </c>
      <c r="V24" s="43">
        <f>s_C*s_EF_iw*(1/365)*s_ED_ind*(s_ET_iw_o+s_ET_iw_i)*(1/24)*s_RadSpec!AC24*s_RadSpec!S24*1</f>
        <v>6.8095915026646511E-2</v>
      </c>
      <c r="W24" s="43">
        <f>s_C*s_EF_iw*(1/365)*s_ED_ind*(s_ET_iw_o+s_ET_iw_i)*(1/24)*s_RadSpec!AD24*s_RadSpec!T24*1</f>
        <v>8.1545662100456634E-2</v>
      </c>
      <c r="X24" s="43">
        <f>s_C*s_EF_iw*(1/365)*s_ED_ind*(s_ET_iw_o+s_ET_iw_i)*(1/24)*s_RadSpec!Z24*s_RadSpec!P24*1</f>
        <v>2.8928963643720031E-2</v>
      </c>
      <c r="Y24" s="11"/>
      <c r="Z24" s="11"/>
      <c r="AA24" s="11"/>
      <c r="AB24" s="11"/>
      <c r="AC24" s="11"/>
      <c r="AD24" s="22" t="str">
        <f>IFERROR(s_TR/(s_RadSpec!G24*s_EF_iw*s_ED_ind*(s_ET_iw_o+s_ET_iw_i)*(1/24)*s_IRA_iw),".")</f>
        <v>.</v>
      </c>
      <c r="AE24" s="22">
        <f>IFERROR(s_TR/(s_RadSpec!J24*s_EF_iw*(1/365)*s_ED_ind*(s_ET_iw_o+s_ET_iw_i)*(1/24)*s_GSF_a),".")</f>
        <v>9993165.3661975376</v>
      </c>
      <c r="AF24" s="22">
        <f t="shared" si="6"/>
        <v>9993165.3661975376</v>
      </c>
      <c r="AG24" s="43">
        <f t="shared" si="4"/>
        <v>34375</v>
      </c>
      <c r="AH24" s="43">
        <f t="shared" si="5"/>
        <v>1.5696347031963471</v>
      </c>
      <c r="AI24" s="10"/>
      <c r="AJ24" s="10"/>
      <c r="AK24" s="10"/>
    </row>
    <row r="25" spans="1:37" x14ac:dyDescent="0.25">
      <c r="A25" s="25" t="s">
        <v>35</v>
      </c>
      <c r="B25" s="24" t="s">
        <v>275</v>
      </c>
      <c r="C25" s="109"/>
      <c r="D25" s="22" t="str">
        <f>IFERROR((s_TR/(s_RadSpec!I25*s_EF_iw*s_ED_ind*s_IRS_iw*(1/1000)))*1,".")</f>
        <v>.</v>
      </c>
      <c r="E25" s="22">
        <f>IFERROR(IF(A25="H-3",(s_TR/(s_RadSpec!G25*s_EF_iw*s_ED_ind*(s_ET_iw_o+s_ET_iw_i)*(1/24)*s_IRA_iw*(1/17)*1000))*1,(s_TR/(s_RadSpec!G25*s_EF_iw*s_ED_ind*(s_ET_iw_o+s_ET_iw_i)*(1/24)*s_IRA_iw*(1/s_PEF_wind)*1000))*1),".")</f>
        <v>197917370.37179211</v>
      </c>
      <c r="F25" s="22">
        <f>IFERROR((s_TR/(s_RadSpec!F25*s_EF_iw*(1/365)*s_ED_ind*s_RadSpec!Q25*(s_ET_iw_o+s_ET_iw_i)*(1/24)*s_RadSpec!AA25))*1,".")</f>
        <v>377805.58717240376</v>
      </c>
      <c r="G25" s="22">
        <f t="shared" si="0"/>
        <v>377085.7660218972</v>
      </c>
      <c r="H25" s="43">
        <f t="shared" si="1"/>
        <v>137.5</v>
      </c>
      <c r="I25" s="43">
        <f t="shared" si="2"/>
        <v>0.11080293013295324</v>
      </c>
      <c r="J25" s="43">
        <f>s_C*s_EF_iw*(1/365)*s_ED_ind*(s_ET_iw_o+s_ET_iw_i)*(1/24)*s_RadSpec!AA25*s_RadSpec!Q25*1</f>
        <v>7.8167808219178084E-2</v>
      </c>
      <c r="K25" s="4"/>
      <c r="L25" s="4"/>
      <c r="M25" s="4"/>
      <c r="N25" s="4"/>
      <c r="O25" s="22">
        <f>IFERROR((s_TR/(s_RadSpec!F25*s_EF_iw*(1/365)*s_ED_ind*s_RadSpec!Q25*(s_ET_iw_o+s_ET_iw_i)*(1/24)*s_RadSpec!AA25))*1,".")</f>
        <v>377805.58717240376</v>
      </c>
      <c r="P25" s="22">
        <f>IFERROR((s_TR/(s_RadSpec!M25*s_EF_iw*(1/365)*s_ED_ind*s_RadSpec!R25*(s_ET_iw_o+s_ET_iw_i)*(1/24)*s_RadSpec!AB25))*1,".")</f>
        <v>3210171.9255572008</v>
      </c>
      <c r="Q25" s="22">
        <f>IFERROR((s_TR/(s_RadSpec!N25*s_EF_iw*(1/365)*s_ED_ind*s_RadSpec!S25*(s_ET_iw_o+s_ET_iw_i)*(1/24)*s_RadSpec!AC25))*1,".")</f>
        <v>815975.29065042082</v>
      </c>
      <c r="R25" s="22">
        <f>IFERROR((s_TR/(s_RadSpec!O25*s_EF_iw*(1/365)*s_ED_ind*s_RadSpec!T25*(s_ET_iw_o+s_ET_iw_i)*(1/24)*s_RadSpec!AD25))*1,".")</f>
        <v>476048.32445548102</v>
      </c>
      <c r="S25" s="22">
        <f>IFERROR((s_TR/(s_RadSpec!K25*s_EF_iw*(1/365)*s_ED_ind*s_RadSpec!P25*(s_ET_iw_o+s_ET_iw_i)*(1/24)*s_RadSpec!Z25))*1,".")</f>
        <v>5862921.4665968232</v>
      </c>
      <c r="T25" s="43">
        <f>s_C*s_EF_iw*(1/365)*s_ED_ind*(s_ET_iw_o+s_ET_iw_i)*(1/24)*s_RadSpec!AA25*s_RadSpec!Q25*1</f>
        <v>7.8167808219178084E-2</v>
      </c>
      <c r="U25" s="43">
        <f>s_C*s_EF_iw*(1/365)*s_ED_ind*(s_ET_iw_o+s_ET_iw_i)*(1/24)*s_RadSpec!AB25*s_RadSpec!R25*1</f>
        <v>4.3649841491434742E-2</v>
      </c>
      <c r="V25" s="43">
        <f>s_C*s_EF_iw*(1/365)*s_ED_ind*(s_ET_iw_o+s_ET_iw_i)*(1/24)*s_RadSpec!AC25*s_RadSpec!S25*1</f>
        <v>6.0852518587582775E-2</v>
      </c>
      <c r="W25" s="43">
        <f>s_C*s_EF_iw*(1/365)*s_ED_ind*(s_ET_iw_o+s_ET_iw_i)*(1/24)*s_RadSpec!AD25*s_RadSpec!T25*1</f>
        <v>6.8145838718014995E-2</v>
      </c>
      <c r="X25" s="43">
        <f>s_C*s_EF_iw*(1/365)*s_ED_ind*(s_ET_iw_o+s_ET_iw_i)*(1/24)*s_RadSpec!Z25*s_RadSpec!P25*1</f>
        <v>2.434607645875252E-2</v>
      </c>
      <c r="Y25" s="11"/>
      <c r="Z25" s="11"/>
      <c r="AA25" s="11"/>
      <c r="AB25" s="11"/>
      <c r="AC25" s="11"/>
      <c r="AD25" s="22">
        <f>IFERROR(s_TR/(s_RadSpec!G25*s_EF_iw*s_ED_ind*(s_ET_iw_o+s_ET_iw_i)*(1/24)*s_IRA_iw),".")</f>
        <v>637.95853269537486</v>
      </c>
      <c r="AE25" s="22">
        <f>IFERROR(s_TR/(s_RadSpec!J25*s_EF_iw*(1/365)*s_ED_ind*(s_ET_iw_o+s_ET_iw_i)*(1/24)*s_GSF_a),".")</f>
        <v>19626864.352316026</v>
      </c>
      <c r="AF25" s="22">
        <f t="shared" si="6"/>
        <v>637.93779693985209</v>
      </c>
      <c r="AG25" s="43">
        <f t="shared" si="4"/>
        <v>34375</v>
      </c>
      <c r="AH25" s="43">
        <f t="shared" si="5"/>
        <v>1.5696347031963471</v>
      </c>
      <c r="AI25" s="10"/>
      <c r="AJ25" s="10"/>
      <c r="AK25" s="10"/>
    </row>
    <row r="26" spans="1:37" x14ac:dyDescent="0.25">
      <c r="A26" s="23" t="s">
        <v>36</v>
      </c>
      <c r="B26" s="24" t="s">
        <v>289</v>
      </c>
      <c r="C26" s="2"/>
      <c r="D26" s="22">
        <f>IFERROR((s_TR/(s_RadSpec!I26*s_EF_iw*s_ED_ind*s_IRS_iw*(1/1000)))*1,".")</f>
        <v>1847.3702684229002</v>
      </c>
      <c r="E26" s="22">
        <f>IFERROR(IF(A26="H-3",(s_TR/(s_RadSpec!G26*s_EF_iw*s_ED_ind*(s_ET_iw_o+s_ET_iw_i)*(1/24)*s_IRA_iw*(1/17)*1000))*1,(s_TR/(s_RadSpec!G26*s_EF_iw*s_ED_ind*(s_ET_iw_o+s_ET_iw_i)*(1/24)*s_IRA_iw*(1/s_PEF_wind)*1000))*1),".")</f>
        <v>2583.8960401264658</v>
      </c>
      <c r="F26" s="22">
        <f>IFERROR((s_TR/(s_RadSpec!F26*s_EF_iw*(1/365)*s_ED_ind*s_RadSpec!Q26*(s_ET_iw_o+s_ET_iw_i)*(1/24)*s_RadSpec!AA26))*1,".")</f>
        <v>15556.231893297174</v>
      </c>
      <c r="G26" s="22">
        <f t="shared" si="0"/>
        <v>1007.4496938466278</v>
      </c>
      <c r="H26" s="43">
        <f t="shared" si="1"/>
        <v>137.5</v>
      </c>
      <c r="I26" s="43">
        <f t="shared" si="2"/>
        <v>0.11080293013295324</v>
      </c>
      <c r="J26" s="43">
        <f>s_C*s_EF_iw*(1/365)*s_ED_ind*(s_ET_iw_o+s_ET_iw_i)*(1/24)*s_RadSpec!AA26*s_RadSpec!Q26*1</f>
        <v>1.433701290065169E-2</v>
      </c>
      <c r="K26" s="4"/>
      <c r="L26" s="4"/>
      <c r="M26" s="4"/>
      <c r="N26" s="4"/>
      <c r="O26" s="22">
        <f>IFERROR((s_TR/(s_RadSpec!F26*s_EF_iw*(1/365)*s_ED_ind*s_RadSpec!Q26*(s_ET_iw_o+s_ET_iw_i)*(1/24)*s_RadSpec!AA26))*1,".")</f>
        <v>15556.231893297174</v>
      </c>
      <c r="P26" s="22">
        <f>IFERROR((s_TR/(s_RadSpec!M26*s_EF_iw*(1/365)*s_ED_ind*s_RadSpec!R26*(s_ET_iw_o+s_ET_iw_i)*(1/24)*s_RadSpec!AB26))*1,".")</f>
        <v>94149.727261234977</v>
      </c>
      <c r="Q26" s="22">
        <f>IFERROR((s_TR/(s_RadSpec!N26*s_EF_iw*(1/365)*s_ED_ind*s_RadSpec!S26*(s_ET_iw_o+s_ET_iw_i)*(1/24)*s_RadSpec!AC26))*1,".")</f>
        <v>26977.658517770589</v>
      </c>
      <c r="R26" s="22">
        <f>IFERROR((s_TR/(s_RadSpec!O26*s_EF_iw*(1/365)*s_ED_ind*s_RadSpec!T26*(s_ET_iw_o+s_ET_iw_i)*(1/24)*s_RadSpec!AD26))*1,".")</f>
        <v>17744.29355656082</v>
      </c>
      <c r="S26" s="22">
        <f>IFERROR((s_TR/(s_RadSpec!K26*s_EF_iw*(1/365)*s_ED_ind*s_RadSpec!P26*(s_ET_iw_o+s_ET_iw_i)*(1/24)*s_RadSpec!Z26))*1,".")</f>
        <v>524486.75296307821</v>
      </c>
      <c r="T26" s="43">
        <f>s_C*s_EF_iw*(1/365)*s_ED_ind*(s_ET_iw_o+s_ET_iw_i)*(1/24)*s_RadSpec!AA26*s_RadSpec!Q26*1</f>
        <v>1.433701290065169E-2</v>
      </c>
      <c r="U26" s="43">
        <f>s_C*s_EF_iw*(1/365)*s_ED_ind*(s_ET_iw_o+s_ET_iw_i)*(1/24)*s_RadSpec!AB26*s_RadSpec!R26*1</f>
        <v>7.8526581865622953E-3</v>
      </c>
      <c r="V26" s="43">
        <f>s_C*s_EF_iw*(1/365)*s_ED_ind*(s_ET_iw_o+s_ET_iw_i)*(1/24)*s_RadSpec!AC26*s_RadSpec!S26*1</f>
        <v>1.0864502499355411E-2</v>
      </c>
      <c r="W26" s="43">
        <f>s_C*s_EF_iw*(1/365)*s_ED_ind*(s_ET_iw_o+s_ET_iw_i)*(1/24)*s_RadSpec!AD26*s_RadSpec!T26*1</f>
        <v>1.2701411851152058E-2</v>
      </c>
      <c r="X26" s="43">
        <f>s_C*s_EF_iw*(1/365)*s_ED_ind*(s_ET_iw_o+s_ET_iw_i)*(1/24)*s_RadSpec!Z26*s_RadSpec!P26*1</f>
        <v>1.3472778363189319E-3</v>
      </c>
      <c r="Y26" s="11"/>
      <c r="Z26" s="11"/>
      <c r="AA26" s="11"/>
      <c r="AB26" s="11"/>
      <c r="AC26" s="11"/>
      <c r="AD26" s="22">
        <f>IFERROR(s_TR/(s_RadSpec!G26*s_EF_iw*s_ED_ind*(s_ET_iw_o+s_ET_iw_i)*(1/24)*s_IRA_iw),".")</f>
        <v>8.3288218881439214E-3</v>
      </c>
      <c r="AE26" s="22">
        <f>IFERROR(s_TR/(s_RadSpec!J26*s_EF_iw*(1/365)*s_ED_ind*(s_ET_iw_o+s_ET_iw_i)*(1/24)*s_GSF_a),".")</f>
        <v>106153.07957089211</v>
      </c>
      <c r="AF26" s="22">
        <f t="shared" si="6"/>
        <v>8.3288212346605845E-3</v>
      </c>
      <c r="AG26" s="43">
        <f t="shared" si="4"/>
        <v>34375</v>
      </c>
      <c r="AH26" s="43">
        <f t="shared" si="5"/>
        <v>1.5696347031963471</v>
      </c>
      <c r="AI26" s="10"/>
      <c r="AJ26" s="10"/>
      <c r="AK26" s="10"/>
    </row>
    <row r="27" spans="1:37" x14ac:dyDescent="0.25">
      <c r="A27" s="23" t="s">
        <v>37</v>
      </c>
      <c r="B27" s="24" t="s">
        <v>289</v>
      </c>
      <c r="C27" s="109"/>
      <c r="D27" s="22" t="str">
        <f>IFERROR((s_TR/(s_RadSpec!I27*s_EF_iw*s_ED_ind*s_IRS_iw*(1/1000)))*1,".")</f>
        <v>.</v>
      </c>
      <c r="E27" s="22" t="str">
        <f>IFERROR(IF(A27="H-3",(s_TR/(s_RadSpec!G27*s_EF_iw*s_ED_ind*(s_ET_iw_o+s_ET_iw_i)*(1/24)*s_IRA_iw*(1/17)*1000))*1,(s_TR/(s_RadSpec!G27*s_EF_iw*s_ED_ind*(s_ET_iw_o+s_ET_iw_i)*(1/24)*s_IRA_iw*(1/s_PEF_wind)*1000))*1),".")</f>
        <v>.</v>
      </c>
      <c r="F27" s="22">
        <f>IFERROR((s_TR/(s_RadSpec!F27*s_EF_iw*(1/365)*s_ED_ind*s_RadSpec!Q27*(s_ET_iw_o+s_ET_iw_i)*(1/24)*s_RadSpec!AA27))*1,".")</f>
        <v>120325.49524936889</v>
      </c>
      <c r="G27" s="22">
        <f t="shared" si="0"/>
        <v>120325.49524936891</v>
      </c>
      <c r="H27" s="43">
        <f t="shared" si="1"/>
        <v>137.5</v>
      </c>
      <c r="I27" s="43">
        <f t="shared" si="2"/>
        <v>0.11080293013295324</v>
      </c>
      <c r="J27" s="43">
        <f>s_C*s_EF_iw*(1/365)*s_ED_ind*(s_ET_iw_o+s_ET_iw_i)*(1/24)*s_RadSpec!AA27*s_RadSpec!Q27*1</f>
        <v>6.8046370650291274E-2</v>
      </c>
      <c r="K27" s="4"/>
      <c r="L27" s="4"/>
      <c r="M27" s="4"/>
      <c r="N27" s="4"/>
      <c r="O27" s="22">
        <f>IFERROR((s_TR/(s_RadSpec!F27*s_EF_iw*(1/365)*s_ED_ind*s_RadSpec!Q27*(s_ET_iw_o+s_ET_iw_i)*(1/24)*s_RadSpec!AA27))*1,".")</f>
        <v>120325.49524936889</v>
      </c>
      <c r="P27" s="22">
        <f>IFERROR((s_TR/(s_RadSpec!M27*s_EF_iw*(1/365)*s_ED_ind*s_RadSpec!R27*(s_ET_iw_o+s_ET_iw_i)*(1/24)*s_RadSpec!AB27))*1,".")</f>
        <v>1051023.7044996172</v>
      </c>
      <c r="Q27" s="22">
        <f>IFERROR((s_TR/(s_RadSpec!N27*s_EF_iw*(1/365)*s_ED_ind*s_RadSpec!S27*(s_ET_iw_o+s_ET_iw_i)*(1/24)*s_RadSpec!AC27))*1,".")</f>
        <v>303066.01106499851</v>
      </c>
      <c r="R27" s="22">
        <f>IFERROR((s_TR/(s_RadSpec!O27*s_EF_iw*(1/365)*s_ED_ind*s_RadSpec!T27*(s_ET_iw_o+s_ET_iw_i)*(1/24)*s_RadSpec!AD27))*1,".")</f>
        <v>165834.71015301131</v>
      </c>
      <c r="S27" s="22">
        <f>IFERROR((s_TR/(s_RadSpec!K27*s_EF_iw*(1/365)*s_ED_ind*s_RadSpec!P27*(s_ET_iw_o+s_ET_iw_i)*(1/24)*s_RadSpec!Z27))*1,".")</f>
        <v>795469.8413257139</v>
      </c>
      <c r="T27" s="43">
        <f>s_C*s_EF_iw*(1/365)*s_ED_ind*(s_ET_iw_o+s_ET_iw_i)*(1/24)*s_RadSpec!AA27*s_RadSpec!Q27*1</f>
        <v>6.8046370650291274E-2</v>
      </c>
      <c r="U27" s="43">
        <f>s_C*s_EF_iw*(1/365)*s_ED_ind*(s_ET_iw_o+s_ET_iw_i)*(1/24)*s_RadSpec!AB27*s_RadSpec!R27*1</f>
        <v>2.2940814892869678E-2</v>
      </c>
      <c r="V27" s="43">
        <f>s_C*s_EF_iw*(1/365)*s_ED_ind*(s_ET_iw_o+s_ET_iw_i)*(1/24)*s_RadSpec!AC27*s_RadSpec!S27*1</f>
        <v>3.741925138589821E-2</v>
      </c>
      <c r="W27" s="43">
        <f>s_C*s_EF_iw*(1/365)*s_ED_ind*(s_ET_iw_o+s_ET_iw_i)*(1/24)*s_RadSpec!AD27*s_RadSpec!T27*1</f>
        <v>5.1438128612387918E-2</v>
      </c>
      <c r="X27" s="43">
        <f>s_C*s_EF_iw*(1/365)*s_ED_ind*(s_ET_iw_o+s_ET_iw_i)*(1/24)*s_RadSpec!Z27*s_RadSpec!P27*1</f>
        <v>7.3340612798623497E-3</v>
      </c>
      <c r="Y27" s="11"/>
      <c r="Z27" s="11"/>
      <c r="AA27" s="11"/>
      <c r="AB27" s="11"/>
      <c r="AC27" s="11"/>
      <c r="AD27" s="22" t="str">
        <f>IFERROR(s_TR/(s_RadSpec!G27*s_EF_iw*s_ED_ind*(s_ET_iw_o+s_ET_iw_i)*(1/24)*s_IRA_iw),".")</f>
        <v>.</v>
      </c>
      <c r="AE27" s="22">
        <f>IFERROR(s_TR/(s_RadSpec!J27*s_EF_iw*(1/365)*s_ED_ind*(s_ET_iw_o+s_ET_iw_i)*(1/24)*s_GSF_a),".")</f>
        <v>3388986.5154930782</v>
      </c>
      <c r="AF27" s="22">
        <f t="shared" si="6"/>
        <v>3388986.5154930782</v>
      </c>
      <c r="AG27" s="43">
        <f t="shared" si="4"/>
        <v>34375</v>
      </c>
      <c r="AH27" s="43">
        <f t="shared" si="5"/>
        <v>1.5696347031963471</v>
      </c>
      <c r="AI27" s="10"/>
      <c r="AJ27" s="10"/>
      <c r="AK27" s="10"/>
    </row>
    <row r="28" spans="1:37" x14ac:dyDescent="0.25">
      <c r="A28" s="23" t="s">
        <v>38</v>
      </c>
      <c r="B28" s="24" t="s">
        <v>289</v>
      </c>
      <c r="C28" s="2"/>
      <c r="D28" s="22" t="str">
        <f>IFERROR((s_TR/(s_RadSpec!I28*s_EF_iw*s_ED_ind*s_IRS_iw*(1/1000)))*1,".")</f>
        <v>.</v>
      </c>
      <c r="E28" s="22" t="str">
        <f>IFERROR(IF(A28="H-3",(s_TR/(s_RadSpec!G28*s_EF_iw*s_ED_ind*(s_ET_iw_o+s_ET_iw_i)*(1/24)*s_IRA_iw*(1/17)*1000))*1,(s_TR/(s_RadSpec!G28*s_EF_iw*s_ED_ind*(s_ET_iw_o+s_ET_iw_i)*(1/24)*s_IRA_iw*(1/s_PEF_wind)*1000))*1),".")</f>
        <v>.</v>
      </c>
      <c r="F28" s="22">
        <f>IFERROR((s_TR/(s_RadSpec!F28*s_EF_iw*(1/365)*s_ED_ind*s_RadSpec!Q28*(s_ET_iw_o+s_ET_iw_i)*(1/24)*s_RadSpec!AA28))*1,".")</f>
        <v>31.501353486694978</v>
      </c>
      <c r="G28" s="22">
        <f t="shared" si="0"/>
        <v>31.501353486694974</v>
      </c>
      <c r="H28" s="43">
        <f t="shared" si="1"/>
        <v>137.5</v>
      </c>
      <c r="I28" s="43">
        <f t="shared" si="2"/>
        <v>0.11080293013295324</v>
      </c>
      <c r="J28" s="43">
        <f>s_C*s_EF_iw*(1/365)*s_ED_ind*(s_ET_iw_o+s_ET_iw_i)*(1/24)*s_RadSpec!AA28*s_RadSpec!Q28*1</f>
        <v>0.15377397260273976</v>
      </c>
      <c r="K28" s="4"/>
      <c r="L28" s="4"/>
      <c r="M28" s="4"/>
      <c r="N28" s="4"/>
      <c r="O28" s="22">
        <f>IFERROR((s_TR/(s_RadSpec!F28*s_EF_iw*(1/365)*s_ED_ind*s_RadSpec!Q28*(s_ET_iw_o+s_ET_iw_i)*(1/24)*s_RadSpec!AA28))*1,".")</f>
        <v>31.501353486694978</v>
      </c>
      <c r="P28" s="22">
        <f>IFERROR((s_TR/(s_RadSpec!M28*s_EF_iw*(1/365)*s_ED_ind*s_RadSpec!R28*(s_ET_iw_o+s_ET_iw_i)*(1/24)*s_RadSpec!AB28))*1,".")</f>
        <v>380.48625892674653</v>
      </c>
      <c r="Q28" s="22">
        <f>IFERROR((s_TR/(s_RadSpec!N28*s_EF_iw*(1/365)*s_ED_ind*s_RadSpec!S28*(s_ET_iw_o+s_ET_iw_i)*(1/24)*s_RadSpec!AC28))*1,".")</f>
        <v>91.96268605253286</v>
      </c>
      <c r="R28" s="22">
        <f>IFERROR((s_TR/(s_RadSpec!O28*s_EF_iw*(1/365)*s_ED_ind*s_RadSpec!T28*(s_ET_iw_o+s_ET_iw_i)*(1/24)*s_RadSpec!AD28))*1,".")</f>
        <v>50.035635221001876</v>
      </c>
      <c r="S28" s="22">
        <f>IFERROR((s_TR/(s_RadSpec!K28*s_EF_iw*(1/365)*s_ED_ind*s_RadSpec!P28*(s_ET_iw_o+s_ET_iw_i)*(1/24)*s_RadSpec!Z28))*1,".")</f>
        <v>686.55001402117091</v>
      </c>
      <c r="T28" s="43">
        <f>s_C*s_EF_iw*(1/365)*s_ED_ind*(s_ET_iw_o+s_ET_iw_i)*(1/24)*s_RadSpec!AA28*s_RadSpec!Q28*1</f>
        <v>0.15377397260273976</v>
      </c>
      <c r="U28" s="43">
        <f>s_C*s_EF_iw*(1/365)*s_ED_ind*(s_ET_iw_o+s_ET_iw_i)*(1/24)*s_RadSpec!AB28*s_RadSpec!R28*1</f>
        <v>6.8961259010367301E-2</v>
      </c>
      <c r="V28" s="43">
        <f>s_C*s_EF_iw*(1/365)*s_ED_ind*(s_ET_iw_o+s_ET_iw_i)*(1/24)*s_RadSpec!AC28*s_RadSpec!S28*1</f>
        <v>9.9326484018264896E-2</v>
      </c>
      <c r="W28" s="43">
        <f>s_C*s_EF_iw*(1/365)*s_ED_ind*(s_ET_iw_o+s_ET_iw_i)*(1/24)*s_RadSpec!AD28*s_RadSpec!T28*1</f>
        <v>0.1147218305130272</v>
      </c>
      <c r="X28" s="43">
        <f>s_C*s_EF_iw*(1/365)*s_ED_ind*(s_ET_iw_o+s_ET_iw_i)*(1/24)*s_RadSpec!Z28*s_RadSpec!P28*1</f>
        <v>3.9227895392278937E-2</v>
      </c>
      <c r="Y28" s="11"/>
      <c r="Z28" s="11"/>
      <c r="AA28" s="11"/>
      <c r="AB28" s="11"/>
      <c r="AC28" s="11"/>
      <c r="AD28" s="22" t="str">
        <f>IFERROR(s_TR/(s_RadSpec!G28*s_EF_iw*s_ED_ind*(s_ET_iw_o+s_ET_iw_i)*(1/24)*s_IRA_iw),".")</f>
        <v>.</v>
      </c>
      <c r="AE28" s="22">
        <f>IFERROR(s_TR/(s_RadSpec!J28*s_EF_iw*(1/365)*s_ED_ind*(s_ET_iw_o+s_ET_iw_i)*(1/24)*s_GSF_a),".")</f>
        <v>3326.9928597218632</v>
      </c>
      <c r="AF28" s="22">
        <f t="shared" si="6"/>
        <v>3326.9928597218632</v>
      </c>
      <c r="AG28" s="43">
        <f t="shared" si="4"/>
        <v>34375</v>
      </c>
      <c r="AH28" s="43">
        <f t="shared" si="5"/>
        <v>1.5696347031963471</v>
      </c>
      <c r="AI28" s="10"/>
      <c r="AJ28" s="10"/>
      <c r="AK28" s="10"/>
    </row>
    <row r="29" spans="1:37" x14ac:dyDescent="0.25">
      <c r="A29" s="23" t="s">
        <v>39</v>
      </c>
      <c r="B29" s="24" t="s">
        <v>289</v>
      </c>
      <c r="C29" s="109"/>
      <c r="D29" s="22" t="str">
        <f>IFERROR((s_TR/(s_RadSpec!I29*s_EF_iw*s_ED_ind*s_IRS_iw*(1/1000)))*1,".")</f>
        <v>.</v>
      </c>
      <c r="E29" s="22" t="str">
        <f>IFERROR(IF(A29="H-3",(s_TR/(s_RadSpec!G29*s_EF_iw*s_ED_ind*(s_ET_iw_o+s_ET_iw_i)*(1/24)*s_IRA_iw*(1/17)*1000))*1,(s_TR/(s_RadSpec!G29*s_EF_iw*s_ED_ind*(s_ET_iw_o+s_ET_iw_i)*(1/24)*s_IRA_iw*(1/s_PEF_wind)*1000))*1),".")</f>
        <v>.</v>
      </c>
      <c r="F29" s="22">
        <f>IFERROR((s_TR/(s_RadSpec!F29*s_EF_iw*(1/365)*s_ED_ind*s_RadSpec!Q29*(s_ET_iw_o+s_ET_iw_i)*(1/24)*s_RadSpec!AA29))*1,".")</f>
        <v>26.331777058561329</v>
      </c>
      <c r="G29" s="22">
        <f t="shared" si="0"/>
        <v>26.331777058561329</v>
      </c>
      <c r="H29" s="43">
        <f t="shared" si="1"/>
        <v>137.5</v>
      </c>
      <c r="I29" s="43">
        <f t="shared" si="2"/>
        <v>0.11080293013295324</v>
      </c>
      <c r="J29" s="43">
        <f>s_C*s_EF_iw*(1/365)*s_ED_ind*(s_ET_iw_o+s_ET_iw_i)*(1/24)*s_RadSpec!AA29*s_RadSpec!Q29*1</f>
        <v>0.14141201264488931</v>
      </c>
      <c r="K29" s="4"/>
      <c r="L29" s="4"/>
      <c r="M29" s="4"/>
      <c r="N29" s="4"/>
      <c r="O29" s="22">
        <f>IFERROR((s_TR/(s_RadSpec!F29*s_EF_iw*(1/365)*s_ED_ind*s_RadSpec!Q29*(s_ET_iw_o+s_ET_iw_i)*(1/24)*s_RadSpec!AA29))*1,".")</f>
        <v>26.331777058561329</v>
      </c>
      <c r="P29" s="22">
        <f>IFERROR((s_TR/(s_RadSpec!M29*s_EF_iw*(1/365)*s_ED_ind*s_RadSpec!R29*(s_ET_iw_o+s_ET_iw_i)*(1/24)*s_RadSpec!AB29))*1,".")</f>
        <v>283.95572467575658</v>
      </c>
      <c r="Q29" s="22">
        <f>IFERROR((s_TR/(s_RadSpec!N29*s_EF_iw*(1/365)*s_ED_ind*s_RadSpec!S29*(s_ET_iw_o+s_ET_iw_i)*(1/24)*s_RadSpec!AC29))*1,".")</f>
        <v>70.615268051998925</v>
      </c>
      <c r="R29" s="22">
        <f>IFERROR((s_TR/(s_RadSpec!O29*s_EF_iw*(1/365)*s_ED_ind*s_RadSpec!T29*(s_ET_iw_o+s_ET_iw_i)*(1/24)*s_RadSpec!AD29))*1,".")</f>
        <v>37.528290080252596</v>
      </c>
      <c r="S29" s="22">
        <f>IFERROR((s_TR/(s_RadSpec!K29*s_EF_iw*(1/365)*s_ED_ind*s_RadSpec!P29*(s_ET_iw_o+s_ET_iw_i)*(1/24)*s_RadSpec!Z29))*1,".")</f>
        <v>526.72492869603639</v>
      </c>
      <c r="T29" s="43">
        <f>s_C*s_EF_iw*(1/365)*s_ED_ind*(s_ET_iw_o+s_ET_iw_i)*(1/24)*s_RadSpec!AA29*s_RadSpec!Q29*1</f>
        <v>0.14141201264488931</v>
      </c>
      <c r="U29" s="43">
        <f>s_C*s_EF_iw*(1/365)*s_ED_ind*(s_ET_iw_o+s_ET_iw_i)*(1/24)*s_RadSpec!AB29*s_RadSpec!R29*1</f>
        <v>7.0866675708666796E-2</v>
      </c>
      <c r="V29" s="43">
        <f>s_C*s_EF_iw*(1/365)*s_ED_ind*(s_ET_iw_o+s_ET_iw_i)*(1/24)*s_RadSpec!AC29*s_RadSpec!S29*1</f>
        <v>9.947655640939973E-2</v>
      </c>
      <c r="W29" s="43">
        <f>s_C*s_EF_iw*(1/365)*s_ED_ind*(s_ET_iw_o+s_ET_iw_i)*(1/24)*s_RadSpec!AD29*s_RadSpec!T29*1</f>
        <v>0.11727155828478464</v>
      </c>
      <c r="X29" s="43">
        <f>s_C*s_EF_iw*(1/365)*s_ED_ind*(s_ET_iw_o+s_ET_iw_i)*(1/24)*s_RadSpec!Z29*s_RadSpec!P29*1</f>
        <v>3.946510110893673E-2</v>
      </c>
      <c r="Y29" s="11"/>
      <c r="Z29" s="11"/>
      <c r="AA29" s="11"/>
      <c r="AB29" s="11"/>
      <c r="AC29" s="11"/>
      <c r="AD29" s="22" t="str">
        <f>IFERROR(s_TR/(s_RadSpec!G29*s_EF_iw*s_ED_ind*(s_ET_iw_o+s_ET_iw_i)*(1/24)*s_IRA_iw),".")</f>
        <v>.</v>
      </c>
      <c r="AE29" s="22">
        <f>IFERROR(s_TR/(s_RadSpec!J29*s_EF_iw*(1/365)*s_ED_ind*(s_ET_iw_o+s_ET_iw_i)*(1/24)*s_GSF_a),".")</f>
        <v>2573.7114575206856</v>
      </c>
      <c r="AF29" s="22">
        <f t="shared" si="6"/>
        <v>2573.7114575206856</v>
      </c>
      <c r="AG29" s="43">
        <f t="shared" si="4"/>
        <v>34375</v>
      </c>
      <c r="AH29" s="43">
        <f t="shared" si="5"/>
        <v>1.5696347031963471</v>
      </c>
      <c r="AI29" s="10"/>
      <c r="AJ29" s="10"/>
      <c r="AK29" s="10"/>
    </row>
    <row r="30" spans="1:37" x14ac:dyDescent="0.25">
      <c r="A30" s="23" t="s">
        <v>40</v>
      </c>
      <c r="B30" s="24" t="s">
        <v>289</v>
      </c>
      <c r="C30" s="2"/>
      <c r="D30" s="22">
        <f>IFERROR((s_TR/(s_RadSpec!I30*s_EF_iw*s_ED_ind*s_IRS_iw*(1/1000)))*1,".")</f>
        <v>6970.2197361771841</v>
      </c>
      <c r="E30" s="22">
        <f>IFERROR(IF(A30="H-3",(s_TR/(s_RadSpec!G30*s_EF_iw*s_ED_ind*(s_ET_iw_o+s_ET_iw_i)*(1/24)*s_IRA_iw*(1/17)*1000))*1,(s_TR/(s_RadSpec!G30*s_EF_iw*s_ED_ind*(s_ET_iw_o+s_ET_iw_i)*(1/24)*s_IRA_iw*(1/s_PEF_wind)*1000))*1),".")</f>
        <v>15942.469685486163</v>
      </c>
      <c r="F30" s="22">
        <f>IFERROR((s_TR/(s_RadSpec!F30*s_EF_iw*(1/365)*s_ED_ind*s_RadSpec!Q30*(s_ET_iw_o+s_ET_iw_i)*(1/24)*s_RadSpec!AA30))*1,".")</f>
        <v>4666348.7701353431</v>
      </c>
      <c r="G30" s="22">
        <f t="shared" si="0"/>
        <v>4844.7889718943998</v>
      </c>
      <c r="H30" s="43">
        <f t="shared" si="1"/>
        <v>137.5</v>
      </c>
      <c r="I30" s="43">
        <f t="shared" si="2"/>
        <v>0.11080293013295324</v>
      </c>
      <c r="J30" s="43">
        <f>s_C*s_EF_iw*(1/365)*s_ED_ind*(s_ET_iw_o+s_ET_iw_i)*(1/24)*s_RadSpec!AA30*s_RadSpec!Q30*1</f>
        <v>1.5068493150684934E-2</v>
      </c>
      <c r="K30" s="4"/>
      <c r="L30" s="4"/>
      <c r="M30" s="4"/>
      <c r="N30" s="4"/>
      <c r="O30" s="22">
        <f>IFERROR((s_TR/(s_RadSpec!F30*s_EF_iw*(1/365)*s_ED_ind*s_RadSpec!Q30*(s_ET_iw_o+s_ET_iw_i)*(1/24)*s_RadSpec!AA30))*1,".")</f>
        <v>4666348.7701353431</v>
      </c>
      <c r="P30" s="22">
        <f>IFERROR((s_TR/(s_RadSpec!M30*s_EF_iw*(1/365)*s_ED_ind*s_RadSpec!R30*(s_ET_iw_o+s_ET_iw_i)*(1/24)*s_RadSpec!AB30))*1,".")</f>
        <v>78389198.579055458</v>
      </c>
      <c r="Q30" s="22">
        <f>IFERROR((s_TR/(s_RadSpec!N30*s_EF_iw*(1/365)*s_ED_ind*s_RadSpec!S30*(s_ET_iw_o+s_ET_iw_i)*(1/24)*s_RadSpec!AC30))*1,".")</f>
        <v>11570543.730460364</v>
      </c>
      <c r="R30" s="22">
        <f>IFERROR((s_TR/(s_RadSpec!O30*s_EF_iw*(1/365)*s_ED_ind*s_RadSpec!T30*(s_ET_iw_o+s_ET_iw_i)*(1/24)*s_RadSpec!AD30))*1,".")</f>
        <v>6340227.7590103168</v>
      </c>
      <c r="S30" s="22">
        <f>IFERROR((s_TR/(s_RadSpec!K30*s_EF_iw*(1/365)*s_ED_ind*s_RadSpec!P30*(s_ET_iw_o+s_ET_iw_i)*(1/24)*s_RadSpec!Z30))*1,".")</f>
        <v>1114433882.7499704</v>
      </c>
      <c r="T30" s="43">
        <f>s_C*s_EF_iw*(1/365)*s_ED_ind*(s_ET_iw_o+s_ET_iw_i)*(1/24)*s_RadSpec!AA30*s_RadSpec!Q30*1</f>
        <v>1.5068493150684934E-2</v>
      </c>
      <c r="U30" s="43">
        <f>s_C*s_EF_iw*(1/365)*s_ED_ind*(s_ET_iw_o+s_ET_iw_i)*(1/24)*s_RadSpec!AB30*s_RadSpec!R30*1</f>
        <v>3.0758498224251656E-3</v>
      </c>
      <c r="V30" s="43">
        <f>s_C*s_EF_iw*(1/365)*s_ED_ind*(s_ET_iw_o+s_ET_iw_i)*(1/24)*s_RadSpec!AC30*s_RadSpec!S30*1</f>
        <v>8.5353487639741824E-3</v>
      </c>
      <c r="W30" s="43">
        <f>s_C*s_EF_iw*(1/365)*s_ED_ind*(s_ET_iw_o+s_ET_iw_i)*(1/24)*s_RadSpec!AD30*s_RadSpec!T30*1</f>
        <v>1.1466850730947572E-2</v>
      </c>
      <c r="X30" s="43">
        <f>s_C*s_EF_iw*(1/365)*s_ED_ind*(s_ET_iw_o+s_ET_iw_i)*(1/24)*s_RadSpec!Z30*s_RadSpec!P30*1</f>
        <v>1.2557077625570778E-4</v>
      </c>
      <c r="Y30" s="11"/>
      <c r="Z30" s="11"/>
      <c r="AA30" s="11"/>
      <c r="AB30" s="11"/>
      <c r="AC30" s="11"/>
      <c r="AD30" s="22">
        <f>IFERROR(s_TR/(s_RadSpec!G30*s_EF_iw*s_ED_ind*(s_ET_iw_o+s_ET_iw_i)*(1/24)*s_IRA_iw),".")</f>
        <v>5.1388286682404326E-2</v>
      </c>
      <c r="AE30" s="22">
        <f>IFERROR(s_TR/(s_RadSpec!J30*s_EF_iw*(1/365)*s_ED_ind*(s_ET_iw_o+s_ET_iw_i)*(1/24)*s_GSF_a),".")</f>
        <v>33974273.287321642</v>
      </c>
      <c r="AF30" s="22">
        <f t="shared" si="6"/>
        <v>5.1388286604676217E-2</v>
      </c>
      <c r="AG30" s="43">
        <f t="shared" si="4"/>
        <v>34375</v>
      </c>
      <c r="AH30" s="43">
        <f t="shared" si="5"/>
        <v>1.5696347031963471</v>
      </c>
      <c r="AI30" s="10"/>
      <c r="AJ30" s="10"/>
      <c r="AK30" s="10"/>
    </row>
    <row r="31" spans="1:37" x14ac:dyDescent="0.25">
      <c r="A31" s="26" t="s">
        <v>13</v>
      </c>
      <c r="B31" s="26" t="s">
        <v>289</v>
      </c>
      <c r="C31" s="110"/>
      <c r="D31" s="27">
        <f>1/SUM(1/D32,1/D33,1/D34,1/D35,1/D36,1/D37,1/D38,1/D41,1/D44)</f>
        <v>655.5647744244834</v>
      </c>
      <c r="E31" s="27">
        <f>1/SUM(1/E32,1/E33,1/E34,1/E35,1/E36,1/E37,1/E38,1/E41,1/E44)</f>
        <v>1392.0108344758319</v>
      </c>
      <c r="F31" s="27">
        <f>1/SUM(1/F32,1/F33,1/F34,1/F35,1/F36,1/F37,1/F38,1/F39,1/F40,1/F41,1/F42,1/F43)</f>
        <v>413.79833513761264</v>
      </c>
      <c r="G31" s="28">
        <f>1/SUM(1/G32,1/G33,1/G34,1/G35,1/G36,1/G37,1/G38,1/G39,1/G40,1/G41,1/G42,1/G43,1/G44)</f>
        <v>214.57276958843352</v>
      </c>
      <c r="H31" s="45"/>
      <c r="I31" s="45"/>
      <c r="J31" s="45"/>
      <c r="K31" s="46">
        <f>IFERROR(IF(SUM(H32:H44)&gt;0.01,1-EXP(-SUM(H32:H44)),SUM(H32:H44)),".")</f>
        <v>7.6270113878364981E-8</v>
      </c>
      <c r="L31" s="46">
        <f>IFERROR(IF(SUM(I32:I44)&gt;0.01,1-EXP(-SUM(I32:I44)),SUM(I32:I44)),".")</f>
        <v>3.5919260656349515E-8</v>
      </c>
      <c r="M31" s="46">
        <f>IFERROR(IF(SUM(J32:J44)&gt;0.01,1-EXP(-SUM(J32:J44)),SUM(J32:J44)),".")</f>
        <v>1.2083180562669981E-7</v>
      </c>
      <c r="N31" s="46">
        <f>IFERROR(IF(SUM(H32:J44)&gt;0.01,1-EXP(-SUM(H32:J44)),SUM(H32:J44)),".")</f>
        <v>2.330211801614143E-7</v>
      </c>
      <c r="O31" s="27">
        <f t="shared" ref="O31:S31" si="7">1/SUM(1/O32,1/O33,1/O34,1/O35,1/O36,1/O37,1/O38,1/O39,1/O40,1/O41,1/O42,1/O43)</f>
        <v>413.79833513761264</v>
      </c>
      <c r="P31" s="27">
        <f t="shared" si="7"/>
        <v>3575.3518265294279</v>
      </c>
      <c r="Q31" s="27">
        <f t="shared" si="7"/>
        <v>935.05642893796028</v>
      </c>
      <c r="R31" s="27">
        <f t="shared" si="7"/>
        <v>555.89341139993019</v>
      </c>
      <c r="S31" s="27">
        <f t="shared" si="7"/>
        <v>7789.5153308576428</v>
      </c>
      <c r="T31" s="45"/>
      <c r="U31" s="37"/>
      <c r="V31" s="37"/>
      <c r="W31" s="37"/>
      <c r="X31" s="37"/>
      <c r="Y31" s="46">
        <f>IFERROR(IF(SUM(T32:T44)&gt;0.01,1-EXP(-SUM(T32:T44)),SUM(T32:T44)),".")</f>
        <v>1.2083180562669981E-7</v>
      </c>
      <c r="Z31" s="46">
        <f t="shared" ref="Z31:AC31" si="8">IFERROR(IF(SUM(U32:U44)&gt;0.01,1-EXP(-SUM(U32:U44)),SUM(U32:U44)),".")</f>
        <v>1.3984637715649567E-8</v>
      </c>
      <c r="AA31" s="46">
        <f t="shared" si="8"/>
        <v>5.3472708654375169E-8</v>
      </c>
      <c r="AB31" s="46">
        <f t="shared" si="8"/>
        <v>8.9945300618121849E-8</v>
      </c>
      <c r="AC31" s="46">
        <f t="shared" si="8"/>
        <v>6.4188846001661176E-9</v>
      </c>
      <c r="AD31" s="27">
        <f>1/SUM(1/AD32,1/AD33,1/AD34,1/AD35,1/AD36,1/AD37,1/AD38,1/AD41,1/AD44)</f>
        <v>4.4869492141596948E-3</v>
      </c>
      <c r="AE31" s="27">
        <f t="shared" ref="AE31:AF31" si="9">1/SUM(1/AE32,1/AE33,1/AE34,1/AE35,1/AE36,1/AE37,1/AE38,1/AE39,1/AE40,1/AE41,1/AE42,1/AE43,1/AE44)</f>
        <v>14415.209756149465</v>
      </c>
      <c r="AF31" s="28">
        <f t="shared" si="9"/>
        <v>4.4869478175302091E-3</v>
      </c>
      <c r="AG31" s="45"/>
      <c r="AH31" s="45"/>
      <c r="AI31" s="46">
        <f>IFERROR(IF(SUM(AG32:AG44)&gt;0.01,1-EXP(-SUM(AG32:AG44)),SUM(AG32:AG44)),".")</f>
        <v>1.1081570979619815E-2</v>
      </c>
      <c r="AJ31" s="46">
        <f>IFERROR(IF(SUM(AH32:AH44)&gt;0.01,1-EXP(-SUM(AH32:AH44)),SUM(AH32:AH44)),".")</f>
        <v>3.4685586159209527E-9</v>
      </c>
      <c r="AK31" s="46">
        <f>IFERROR(IF(SUM(AG32:AH44)&gt;0.01,1-EXP(-SUM(AG32:AH44)),SUM(AG32:AH44)),".")</f>
        <v>1.1081574409741335E-2</v>
      </c>
    </row>
    <row r="32" spans="1:37" x14ac:dyDescent="0.25">
      <c r="A32" s="29" t="s">
        <v>290</v>
      </c>
      <c r="B32" s="24">
        <v>1</v>
      </c>
      <c r="C32" s="2"/>
      <c r="D32" s="30">
        <f>IFERROR(D3/$B32,0)</f>
        <v>3995.1259463454585</v>
      </c>
      <c r="E32" s="30">
        <f>IFERROR(E3/$B32,0)</f>
        <v>11956.85226411463</v>
      </c>
      <c r="F32" s="30">
        <f>IFERROR(F3/$B32,0)</f>
        <v>10020836.314600777</v>
      </c>
      <c r="G32" s="30">
        <f>IF(AND(D32&lt;&gt;0,E32&lt;&gt;0,F32&lt;&gt;0),1/((1/D32)+(1/E32)+(1/F32)),IF(AND(D32&lt;&gt;0,E32&lt;&gt;0,F32=0), 1/((1/D32)+(1/E32)),IF(AND(D32&lt;&gt;0,E32=0,F32&lt;&gt;0),1/((1/D32)+(1/F32)),IF(AND(D32=0,E32&lt;&gt;0,F32&lt;&gt;0),1/((1/E32)+(1/F32)),IF(AND(D32&lt;&gt;0,E32=0,F32=0),1/((1/D32)),IF(AND(D32=0,E32&lt;&gt;0,F32=0),1/((1/E32)),IF(AND(D32=0,E32=0,F32&lt;&gt;0),1/((1/F32)),IF(AND(D32=0,E32=0,F32=0),0))))))))</f>
        <v>2993.6638171186719</v>
      </c>
      <c r="H32" s="38">
        <f>IFERROR(s_RadSpec!$I$3*H3,".")*$B$32</f>
        <v>1.251525E-8</v>
      </c>
      <c r="I32" s="38">
        <f>IFERROR(s_RadSpec!$G$3*I3,".")*$B$32</f>
        <v>4.1817025832176553E-9</v>
      </c>
      <c r="J32" s="38">
        <f>IFERROR(s_RadSpec!$F$3*J3,".")*$B$32</f>
        <v>4.9896035051633285E-12</v>
      </c>
      <c r="K32" s="47">
        <f t="shared" ref="K32:M44" si="10">IFERROR(IF(H32&gt;0.01,1-EXP(-H32),H32),".")</f>
        <v>1.251525E-8</v>
      </c>
      <c r="L32" s="47">
        <f t="shared" si="10"/>
        <v>4.1817025832176553E-9</v>
      </c>
      <c r="M32" s="47">
        <f t="shared" si="10"/>
        <v>4.9896035051633285E-12</v>
      </c>
      <c r="N32" s="47">
        <f>IFERROR(IF(SUM(H32:J32)&gt;0.01,1-EXP(-SUM(H32:J32)),SUM(H32:J32)),".")</f>
        <v>1.6701942186722819E-8</v>
      </c>
      <c r="O32" s="30">
        <f t="shared" ref="O32:AE32" si="11">IFERROR(O3/$B32,0)</f>
        <v>10020836.314600777</v>
      </c>
      <c r="P32" s="30">
        <f t="shared" si="11"/>
        <v>28268687.455595125</v>
      </c>
      <c r="Q32" s="30">
        <f t="shared" si="11"/>
        <v>11434123.76097961</v>
      </c>
      <c r="R32" s="30">
        <f t="shared" si="11"/>
        <v>10980832.857872065</v>
      </c>
      <c r="S32" s="30">
        <f t="shared" si="11"/>
        <v>32268981.735967364</v>
      </c>
      <c r="T32" s="38">
        <f>IFERROR(s_RadSpec!$F$3*T3,".")*$B$32</f>
        <v>4.9896035051633285E-12</v>
      </c>
      <c r="U32" s="38">
        <f>IFERROR(s_RadSpec!$M$3*U3,".")*$B$32</f>
        <v>1.7687414768917292E-12</v>
      </c>
      <c r="V32" s="38">
        <f>IFERROR(s_RadSpec!$N$3*V3,".")*$B$32</f>
        <v>4.3728755298793705E-12</v>
      </c>
      <c r="W32" s="38">
        <f>IFERROR(s_RadSpec!$O$3*W3,".")*$B$32</f>
        <v>4.5533886770852208E-12</v>
      </c>
      <c r="X32" s="38">
        <f>IFERROR(s_RadSpec!$K$3*X3,".")*$B$32</f>
        <v>1.5494756050597488E-12</v>
      </c>
      <c r="Y32" s="47">
        <f>IFERROR(IF(T32&gt;0.01,1-EXP(-T32),T32),".")</f>
        <v>4.9896035051633285E-12</v>
      </c>
      <c r="Z32" s="47">
        <f t="shared" ref="Z32:AC44" si="12">IFERROR(IF(U32&gt;0.01,1-EXP(-U32),U32),".")</f>
        <v>1.7687414768917292E-12</v>
      </c>
      <c r="AA32" s="47">
        <f t="shared" si="12"/>
        <v>4.3728755298793705E-12</v>
      </c>
      <c r="AB32" s="47">
        <f t="shared" si="12"/>
        <v>4.5533886770852208E-12</v>
      </c>
      <c r="AC32" s="47">
        <f t="shared" si="12"/>
        <v>1.5494756050597488E-12</v>
      </c>
      <c r="AD32" s="30">
        <f t="shared" si="11"/>
        <v>3.8541215011803263E-2</v>
      </c>
      <c r="AE32" s="30">
        <f t="shared" si="11"/>
        <v>548920.35110099148</v>
      </c>
      <c r="AF32" s="30">
        <f>IFERROR(IF(AND(AD32&lt;&gt;0,AE32&lt;&gt;0),1/((1/AD32)+(1/AE32)),IF(AND(AD32&lt;&gt;0,AE32=0),1/((1/AD32)),IF(AND(AD32=0,AE32&lt;&gt;0),1/((1/AE32)),IF(AND(AD32=0,AE32=0),0)))),0)</f>
        <v>3.854121230571822E-2</v>
      </c>
      <c r="AG32" s="38">
        <f>IFERROR(s_RadSpec!$G$3*AG3,".")*$B$32</f>
        <v>1.2973125000000001E-3</v>
      </c>
      <c r="AH32" s="38">
        <f>IFERROR(s_RadSpec!$J$3*AH3,".")*$B$32</f>
        <v>9.1087896267123289E-11</v>
      </c>
      <c r="AI32" s="47">
        <f>IFERROR(IF(AG32&gt;0.01,1-EXP(-AG32),AG32),".")</f>
        <v>1.2973125000000001E-3</v>
      </c>
      <c r="AJ32" s="47">
        <f>IFERROR(IF(AH32&gt;0.01,1-EXP(-AH32),AH32),".")</f>
        <v>9.1087896267123289E-11</v>
      </c>
      <c r="AK32" s="47">
        <f>IFERROR(IF(SUM(AG32:AH32)&gt;0.01,1-EXP(-SUM(AG32:AH32)),SUM(AG32:AH32)),".")</f>
        <v>1.2973125910878964E-3</v>
      </c>
    </row>
    <row r="33" spans="1:37" x14ac:dyDescent="0.25">
      <c r="A33" s="29" t="s">
        <v>291</v>
      </c>
      <c r="B33" s="24">
        <v>1</v>
      </c>
      <c r="C33" s="2"/>
      <c r="D33" s="30">
        <f t="shared" ref="D33:F34" si="13">IFERROR(D13/$B33,0)</f>
        <v>7738.5904157557707</v>
      </c>
      <c r="E33" s="30">
        <f t="shared" si="13"/>
        <v>15736.760399221832</v>
      </c>
      <c r="F33" s="30">
        <f t="shared" si="13"/>
        <v>132405.73454870784</v>
      </c>
      <c r="G33" s="30">
        <f>IF(AND(D33&lt;&gt;0,E33&lt;&gt;0,F33&lt;&gt;0),1/((1/D33)+(1/E33)+(1/F33)),IF(AND(D33&lt;&gt;0,E33&lt;&gt;0,F33=0), 1/((1/D33)+(1/E33)),IF(AND(D33&lt;&gt;0,E33=0,F33&lt;&gt;0),1/((1/D33)+(1/F33)),IF(AND(D33=0,E33&lt;&gt;0,F33&lt;&gt;0),1/((1/E33)+(1/F33)),IF(AND(D33&lt;&gt;0,E33=0,F33=0),1/((1/D33)),IF(AND(D33=0,E33&lt;&gt;0,F33=0),1/((1/E33)),IF(AND(D33=0,E33=0,F33&lt;&gt;0),1/((1/F33)),IF(AND(D33=0,E33=0,F33=0),0))))))))</f>
        <v>4991.9997362621907</v>
      </c>
      <c r="H33" s="38">
        <f>IFERROR(s_RadSpec!$I$13*H13,".")*$B$33</f>
        <v>6.4611250000000001E-9</v>
      </c>
      <c r="I33" s="38">
        <f>IFERROR(s_RadSpec!$G$13*I13,".")*$B$33</f>
        <v>3.177274021562434E-9</v>
      </c>
      <c r="J33" s="38">
        <f>IFERROR(s_RadSpec!$F$13*J13,".")*$B$33</f>
        <v>3.7762714863083668E-10</v>
      </c>
      <c r="K33" s="47">
        <f t="shared" si="10"/>
        <v>6.4611250000000001E-9</v>
      </c>
      <c r="L33" s="47">
        <f t="shared" si="10"/>
        <v>3.177274021562434E-9</v>
      </c>
      <c r="M33" s="47">
        <f t="shared" si="10"/>
        <v>3.7762714863083668E-10</v>
      </c>
      <c r="N33" s="47">
        <f t="shared" ref="N33:N44" si="14">IFERROR(IF(SUM(H33:J33)&gt;0.01,1-EXP(-SUM(H33:J33)),SUM(H33:J33)),".")</f>
        <v>1.0016026170193271E-8</v>
      </c>
      <c r="O33" s="30">
        <f t="shared" ref="O33:AE34" si="15">IFERROR(O13/$B33,0)</f>
        <v>132405.73454870784</v>
      </c>
      <c r="P33" s="30">
        <f t="shared" si="15"/>
        <v>860802.88071535842</v>
      </c>
      <c r="Q33" s="30">
        <f t="shared" si="15"/>
        <v>214913.96813221477</v>
      </c>
      <c r="R33" s="30">
        <f t="shared" si="15"/>
        <v>142254.31201218377</v>
      </c>
      <c r="S33" s="30">
        <f t="shared" si="15"/>
        <v>6836687.0262451647</v>
      </c>
      <c r="T33" s="38">
        <f>IFERROR(s_RadSpec!$F$13*T13,".")*$B$33</f>
        <v>3.7762714863083668E-10</v>
      </c>
      <c r="U33" s="38">
        <f>IFERROR(s_RadSpec!$M$13*U13,".")*$B$33</f>
        <v>5.8085307473004959E-11</v>
      </c>
      <c r="V33" s="38">
        <f>IFERROR(s_RadSpec!$N$13*V13,".")*$B$33</f>
        <v>2.3265123451277996E-10</v>
      </c>
      <c r="W33" s="38">
        <f>IFERROR(s_RadSpec!$O$13*W13,".")*$B$33</f>
        <v>3.5148319437738821E-10</v>
      </c>
      <c r="X33" s="38">
        <f>IFERROR(s_RadSpec!$K$13*X13,".")*$B$33</f>
        <v>7.3134838274819981E-12</v>
      </c>
      <c r="Y33" s="47">
        <f t="shared" ref="Y33:Y44" si="16">IFERROR(IF(T33&gt;0.01,1-EXP(-T33),T33),".")</f>
        <v>3.7762714863083668E-10</v>
      </c>
      <c r="Z33" s="47">
        <f t="shared" si="12"/>
        <v>5.8085307473004959E-11</v>
      </c>
      <c r="AA33" s="47">
        <f t="shared" si="12"/>
        <v>2.3265123451277996E-10</v>
      </c>
      <c r="AB33" s="47">
        <f t="shared" si="12"/>
        <v>3.5148319437738821E-10</v>
      </c>
      <c r="AC33" s="47">
        <f t="shared" si="12"/>
        <v>7.3134838274819981E-12</v>
      </c>
      <c r="AD33" s="30">
        <f t="shared" si="15"/>
        <v>5.0725212015534607E-2</v>
      </c>
      <c r="AE33" s="30">
        <f t="shared" si="15"/>
        <v>415241.11795615341</v>
      </c>
      <c r="AF33" s="30">
        <f t="shared" ref="AF33:AF44" si="17">IFERROR(IF(AND(AD33&lt;&gt;0,AE33&lt;&gt;0),1/((1/AD33)+(1/AE33)),IF(AND(AD33&lt;&gt;0,AE33=0),1/((1/AD33)),IF(AND(AD33=0,AE33&lt;&gt;0),1/((1/AE33)),IF(AND(AD33=0,AE33=0),0)))),0)</f>
        <v>5.0725205819022005E-2</v>
      </c>
      <c r="AG33" s="38">
        <f>IFERROR(s_RadSpec!$G$13*AG13,".")*$B$33</f>
        <v>9.8570312500000003E-4</v>
      </c>
      <c r="AH33" s="38">
        <f>IFERROR(s_RadSpec!$J$13*AH13,".")*$B$33</f>
        <v>1.204119675E-10</v>
      </c>
      <c r="AI33" s="47">
        <f t="shared" ref="AI33:AJ44" si="18">IFERROR(IF(AG33&gt;0.01,1-EXP(-AG33),AG33),".")</f>
        <v>9.8570312500000003E-4</v>
      </c>
      <c r="AJ33" s="47">
        <f t="shared" si="18"/>
        <v>1.204119675E-10</v>
      </c>
      <c r="AK33" s="47">
        <f t="shared" ref="AK33:AK44" si="19">IFERROR(IF(SUM(AG33:AH33)&gt;0.01,1-EXP(-SUM(AG33:AH33)),SUM(AG33:AH33)),".")</f>
        <v>9.8570324541196754E-4</v>
      </c>
    </row>
    <row r="34" spans="1:37" x14ac:dyDescent="0.25">
      <c r="A34" s="29" t="s">
        <v>292</v>
      </c>
      <c r="B34" s="24">
        <v>1</v>
      </c>
      <c r="C34" s="2"/>
      <c r="D34" s="30">
        <f t="shared" si="13"/>
        <v>140802.43306604339</v>
      </c>
      <c r="E34" s="30">
        <f t="shared" si="13"/>
        <v>29530240.458588183</v>
      </c>
      <c r="F34" s="30">
        <f t="shared" si="13"/>
        <v>1279.8313308492543</v>
      </c>
      <c r="G34" s="30">
        <f>IF(AND(D34&lt;&gt;0,E34&lt;&gt;0,F34&lt;&gt;0),1/((1/D34)+(1/E34)+(1/F34)),IF(AND(D34&lt;&gt;0,E34&lt;&gt;0,F34=0), 1/((1/D34)+(1/E34)),IF(AND(D34&lt;&gt;0,E34=0,F34&lt;&gt;0),1/((1/D34)+(1/F34)),IF(AND(D34=0,E34&lt;&gt;0,F34&lt;&gt;0),1/((1/E34)+(1/F34)),IF(AND(D34&lt;&gt;0,E34=0,F34=0),1/((1/D34)),IF(AND(D34=0,E34&lt;&gt;0,F34=0),1/((1/E34)),IF(AND(D34=0,E34=0,F34&lt;&gt;0),1/((1/F34)),IF(AND(D34=0,E34=0,F34=0),0))))))))</f>
        <v>1268.2485515517224</v>
      </c>
      <c r="H34" s="38">
        <f>IFERROR(s_RadSpec!$I$14*H14,".")*$B$34</f>
        <v>3.5510750000000001E-10</v>
      </c>
      <c r="I34" s="38">
        <f>IFERROR(s_RadSpec!$G$14*I14,".")*$B$33</f>
        <v>1.6931795753616585E-12</v>
      </c>
      <c r="J34" s="38">
        <f>IFERROR(s_RadSpec!$F$14*J14,".")*$B$33</f>
        <v>3.9067648052358299E-8</v>
      </c>
      <c r="K34" s="47">
        <f t="shared" si="10"/>
        <v>3.5510750000000001E-10</v>
      </c>
      <c r="L34" s="47">
        <f t="shared" si="10"/>
        <v>1.6931795753616585E-12</v>
      </c>
      <c r="M34" s="47">
        <f t="shared" si="10"/>
        <v>3.9067648052358299E-8</v>
      </c>
      <c r="N34" s="47">
        <f t="shared" si="14"/>
        <v>3.9424448731933664E-8</v>
      </c>
      <c r="O34" s="30">
        <f t="shared" si="15"/>
        <v>1279.8313308492543</v>
      </c>
      <c r="P34" s="30">
        <f t="shared" si="15"/>
        <v>9798.5451220618343</v>
      </c>
      <c r="Q34" s="30">
        <f t="shared" si="15"/>
        <v>2639.0650123532637</v>
      </c>
      <c r="R34" s="30">
        <f t="shared" si="15"/>
        <v>1591.4692339484882</v>
      </c>
      <c r="S34" s="30">
        <f t="shared" si="15"/>
        <v>27714.177710221913</v>
      </c>
      <c r="T34" s="38">
        <f>IFERROR(s_RadSpec!$F$14*T14,".")*$B$33</f>
        <v>3.9067648052358299E-8</v>
      </c>
      <c r="U34" s="38">
        <f>IFERROR(s_RadSpec!$M$14*U14,".")*$B$33</f>
        <v>5.1027983621183636E-9</v>
      </c>
      <c r="V34" s="38">
        <f>IFERROR(s_RadSpec!$N$14*V14,".")*$B$33</f>
        <v>1.8946103929215005E-8</v>
      </c>
      <c r="W34" s="38">
        <f>IFERROR(s_RadSpec!$O$14*W14,".")*$B$33</f>
        <v>3.1417509640414688E-8</v>
      </c>
      <c r="X34" s="38">
        <f>IFERROR(s_RadSpec!$K$14*X14,".")*$B$33</f>
        <v>1.8041307421348579E-9</v>
      </c>
      <c r="Y34" s="47">
        <f t="shared" si="16"/>
        <v>3.9067648052358299E-8</v>
      </c>
      <c r="Z34" s="47">
        <f t="shared" si="12"/>
        <v>5.1027983621183636E-9</v>
      </c>
      <c r="AA34" s="47">
        <f t="shared" si="12"/>
        <v>1.8946103929215005E-8</v>
      </c>
      <c r="AB34" s="47">
        <f t="shared" si="12"/>
        <v>3.1417509640414688E-8</v>
      </c>
      <c r="AC34" s="47">
        <f t="shared" si="12"/>
        <v>1.8041307421348579E-9</v>
      </c>
      <c r="AD34" s="30">
        <f t="shared" si="15"/>
        <v>95.186535864501977</v>
      </c>
      <c r="AE34" s="30">
        <f t="shared" si="15"/>
        <v>37320.576538603658</v>
      </c>
      <c r="AF34" s="30">
        <f t="shared" si="17"/>
        <v>94.944379194013891</v>
      </c>
      <c r="AG34" s="38">
        <f>IFERROR(s_RadSpec!$G$14*AG14,".")*$B$33</f>
        <v>5.2528437500000004E-7</v>
      </c>
      <c r="AH34" s="38">
        <f>IFERROR(s_RadSpec!$J$14*AH14,".")*$B$33</f>
        <v>1.3397435044520548E-9</v>
      </c>
      <c r="AI34" s="47">
        <f t="shared" si="18"/>
        <v>5.2528437500000004E-7</v>
      </c>
      <c r="AJ34" s="47">
        <f t="shared" si="18"/>
        <v>1.3397435044520548E-9</v>
      </c>
      <c r="AK34" s="47">
        <f t="shared" si="19"/>
        <v>5.2662411850445206E-7</v>
      </c>
    </row>
    <row r="35" spans="1:37" x14ac:dyDescent="0.25">
      <c r="A35" s="29" t="s">
        <v>293</v>
      </c>
      <c r="B35" s="24">
        <v>1</v>
      </c>
      <c r="C35" s="2"/>
      <c r="D35" s="30">
        <f>IFERROR(D30/$B35,0)</f>
        <v>6970.2197361771841</v>
      </c>
      <c r="E35" s="30">
        <f>IFERROR(E30/$B35,0)</f>
        <v>15942.469685486163</v>
      </c>
      <c r="F35" s="30">
        <f>IFERROR(F30/$B35,0)</f>
        <v>4666348.7701353431</v>
      </c>
      <c r="G35" s="30">
        <f t="shared" ref="G35:G61" si="20">IF(AND(D35&lt;&gt;0,E35&lt;&gt;0,F35&lt;&gt;0),1/((1/D35)+(1/E35)+(1/F35)),IF(AND(D35&lt;&gt;0,E35&lt;&gt;0,F35=0), 1/((1/D35)+(1/E35)),IF(AND(D35&lt;&gt;0,E35=0,F35&lt;&gt;0),1/((1/D35)+(1/F35)),IF(AND(D35=0,E35&lt;&gt;0,F35&lt;&gt;0),1/((1/E35)+(1/F35)),IF(AND(D35&lt;&gt;0,E35=0,F35=0),1/((1/D35)),IF(AND(D35=0,E35&lt;&gt;0,F35=0),1/((1/E35)),IF(AND(D35=0,E35=0,F35&lt;&gt;0),1/((1/F35)),IF(AND(D35=0,E35=0,F35=0),0))))))))</f>
        <v>4844.7889718943998</v>
      </c>
      <c r="H35" s="38">
        <f>IFERROR(s_RadSpec!$I$30*H30,".")*$B$35</f>
        <v>7.1733749999999995E-9</v>
      </c>
      <c r="I35" s="38">
        <f>IFERROR(s_RadSpec!$G$30*I30,".")*$B$35</f>
        <v>3.1362769374132415E-9</v>
      </c>
      <c r="J35" s="38">
        <f>IFERROR(s_RadSpec!$F$30*J30,".")*$B$35</f>
        <v>1.0715015628493153E-11</v>
      </c>
      <c r="K35" s="47">
        <f t="shared" si="10"/>
        <v>7.1733749999999995E-9</v>
      </c>
      <c r="L35" s="47">
        <f t="shared" si="10"/>
        <v>3.1362769374132415E-9</v>
      </c>
      <c r="M35" s="47">
        <f t="shared" si="10"/>
        <v>1.0715015628493153E-11</v>
      </c>
      <c r="N35" s="47">
        <f t="shared" si="14"/>
        <v>1.0320366953041734E-8</v>
      </c>
      <c r="O35" s="30">
        <f t="shared" ref="O35:AE35" si="21">IFERROR(O30/$B35,0)</f>
        <v>4666348.7701353431</v>
      </c>
      <c r="P35" s="30">
        <f t="shared" si="21"/>
        <v>78389198.579055458</v>
      </c>
      <c r="Q35" s="30">
        <f t="shared" si="21"/>
        <v>11570543.730460364</v>
      </c>
      <c r="R35" s="30">
        <f t="shared" si="21"/>
        <v>6340227.7590103168</v>
      </c>
      <c r="S35" s="30">
        <f t="shared" si="21"/>
        <v>1114433882.7499704</v>
      </c>
      <c r="T35" s="38">
        <f>IFERROR(s_RadSpec!$F$30*T30,".")*$B$35</f>
        <v>1.0715015628493153E-11</v>
      </c>
      <c r="U35" s="38">
        <f>IFERROR(s_RadSpec!$M$30*U30,".")*$B$35</f>
        <v>6.378429797260275E-13</v>
      </c>
      <c r="V35" s="38">
        <f>IFERROR(s_RadSpec!$N$30*V30,".")*$B$35</f>
        <v>4.321318095740919E-12</v>
      </c>
      <c r="W35" s="38">
        <f>IFERROR(s_RadSpec!$O$30*W30,".")*$B$35</f>
        <v>7.886152028047145E-12</v>
      </c>
      <c r="X35" s="38">
        <f>IFERROR(s_RadSpec!$K$30*X30,".")*$B$35</f>
        <v>4.4865828986301376E-14</v>
      </c>
      <c r="Y35" s="47">
        <f t="shared" si="16"/>
        <v>1.0715015628493153E-11</v>
      </c>
      <c r="Z35" s="47">
        <f t="shared" si="12"/>
        <v>6.378429797260275E-13</v>
      </c>
      <c r="AA35" s="47">
        <f t="shared" si="12"/>
        <v>4.321318095740919E-12</v>
      </c>
      <c r="AB35" s="47">
        <f t="shared" si="12"/>
        <v>7.886152028047145E-12</v>
      </c>
      <c r="AC35" s="47">
        <f t="shared" si="12"/>
        <v>4.4865828986301376E-14</v>
      </c>
      <c r="AD35" s="30">
        <f t="shared" si="21"/>
        <v>5.1388286682404326E-2</v>
      </c>
      <c r="AE35" s="30">
        <f t="shared" si="21"/>
        <v>33974273.287321642</v>
      </c>
      <c r="AF35" s="30">
        <f t="shared" si="17"/>
        <v>5.1388286604676217E-2</v>
      </c>
      <c r="AG35" s="38">
        <f>IFERROR(s_RadSpec!$G$30*AG30,".")*$B$35</f>
        <v>9.72984375E-4</v>
      </c>
      <c r="AH35" s="38">
        <f>IFERROR(s_RadSpec!$J$30*AH30,".")*$B$35</f>
        <v>1.4717018249999999E-12</v>
      </c>
      <c r="AI35" s="47">
        <f t="shared" si="18"/>
        <v>9.72984375E-4</v>
      </c>
      <c r="AJ35" s="47">
        <f t="shared" si="18"/>
        <v>1.4717018249999999E-12</v>
      </c>
      <c r="AK35" s="47">
        <f t="shared" si="19"/>
        <v>9.7298437647170177E-4</v>
      </c>
    </row>
    <row r="36" spans="1:37" x14ac:dyDescent="0.25">
      <c r="A36" s="29" t="s">
        <v>294</v>
      </c>
      <c r="B36" s="24">
        <v>1</v>
      </c>
      <c r="C36" s="2"/>
      <c r="D36" s="30">
        <f>IFERROR(D26/$B36,0)</f>
        <v>1847.3702684229002</v>
      </c>
      <c r="E36" s="30">
        <f>IFERROR(E26/$B36,0)</f>
        <v>2583.8960401264658</v>
      </c>
      <c r="F36" s="30">
        <f>IFERROR(F26/$B36,0)</f>
        <v>15556.231893297174</v>
      </c>
      <c r="G36" s="30">
        <f t="shared" si="20"/>
        <v>1007.4496938466278</v>
      </c>
      <c r="H36" s="38">
        <f>IFERROR(s_RadSpec!$I$26*H26,".")*$B$37</f>
        <v>2.7065499999999998E-8</v>
      </c>
      <c r="I36" s="38">
        <f>IFERROR(s_RadSpec!$G$26*I26,".")*$B$37</f>
        <v>1.9350623718418953E-8</v>
      </c>
      <c r="J36" s="38">
        <f>IFERROR(s_RadSpec!$F$26*J26,".")*$B$37</f>
        <v>3.2141459668998554E-9</v>
      </c>
      <c r="K36" s="47">
        <f t="shared" si="10"/>
        <v>2.7065499999999998E-8</v>
      </c>
      <c r="L36" s="47">
        <f t="shared" si="10"/>
        <v>1.9350623718418953E-8</v>
      </c>
      <c r="M36" s="47">
        <f t="shared" si="10"/>
        <v>3.2141459668998554E-9</v>
      </c>
      <c r="N36" s="47">
        <f t="shared" si="14"/>
        <v>4.9630269685318811E-8</v>
      </c>
      <c r="O36" s="30">
        <f t="shared" ref="O36:AE36" si="22">IFERROR(O26/$B36,0)</f>
        <v>15556.231893297174</v>
      </c>
      <c r="P36" s="30">
        <f t="shared" si="22"/>
        <v>94149.727261234977</v>
      </c>
      <c r="Q36" s="30">
        <f t="shared" si="22"/>
        <v>26977.658517770589</v>
      </c>
      <c r="R36" s="30">
        <f t="shared" si="22"/>
        <v>17744.29355656082</v>
      </c>
      <c r="S36" s="30">
        <f t="shared" si="22"/>
        <v>524486.75296307821</v>
      </c>
      <c r="T36" s="38">
        <f>IFERROR(s_RadSpec!$F$26*T26,".")*$B$37</f>
        <v>3.2141459668998554E-9</v>
      </c>
      <c r="U36" s="38">
        <f>IFERROR(s_RadSpec!$M$26*U26,".")*$B$37</f>
        <v>5.3106898399467708E-10</v>
      </c>
      <c r="V36" s="38">
        <f>IFERROR(s_RadSpec!$N$26*V26,".")*$B$37</f>
        <v>1.8533854584549749E-9</v>
      </c>
      <c r="W36" s="38">
        <f>IFERROR(s_RadSpec!$O$26*W26,".")*$B$37</f>
        <v>2.8178073046764306E-9</v>
      </c>
      <c r="X36" s="38">
        <f>IFERROR(s_RadSpec!$K$26*X26,".")*$B$37</f>
        <v>9.5331292387321368E-11</v>
      </c>
      <c r="Y36" s="47">
        <f t="shared" si="16"/>
        <v>3.2141459668998554E-9</v>
      </c>
      <c r="Z36" s="47">
        <f t="shared" si="12"/>
        <v>5.3106898399467708E-10</v>
      </c>
      <c r="AA36" s="47">
        <f t="shared" si="12"/>
        <v>1.8533854584549749E-9</v>
      </c>
      <c r="AB36" s="47">
        <f t="shared" si="12"/>
        <v>2.8178073046764306E-9</v>
      </c>
      <c r="AC36" s="47">
        <f t="shared" si="12"/>
        <v>9.5331292387321368E-11</v>
      </c>
      <c r="AD36" s="30">
        <f t="shared" si="22"/>
        <v>8.3288218881439214E-3</v>
      </c>
      <c r="AE36" s="30">
        <f t="shared" si="22"/>
        <v>106153.07957089211</v>
      </c>
      <c r="AF36" s="30">
        <f t="shared" si="17"/>
        <v>8.3288212346605845E-3</v>
      </c>
      <c r="AG36" s="38">
        <f>IFERROR(s_RadSpec!$G$26*AG26,".")*$B$37</f>
        <v>6.0032499999999999E-3</v>
      </c>
      <c r="AH36" s="38">
        <f>IFERROR(s_RadSpec!$J$26*AH26,".")*$B$37</f>
        <v>4.7101789417808225E-10</v>
      </c>
      <c r="AI36" s="47">
        <f t="shared" si="18"/>
        <v>6.0032499999999999E-3</v>
      </c>
      <c r="AJ36" s="47">
        <f t="shared" si="18"/>
        <v>4.7101789417808225E-10</v>
      </c>
      <c r="AK36" s="47">
        <f t="shared" si="19"/>
        <v>6.0032504710178939E-3</v>
      </c>
    </row>
    <row r="37" spans="1:37" x14ac:dyDescent="0.25">
      <c r="A37" s="29" t="s">
        <v>295</v>
      </c>
      <c r="B37" s="24">
        <v>1</v>
      </c>
      <c r="C37" s="2"/>
      <c r="D37" s="30">
        <f>IFERROR(D22/$B37,0)</f>
        <v>4889.5571283631007</v>
      </c>
      <c r="E37" s="30">
        <f>IFERROR(E22/$B37,0)</f>
        <v>17250.33848570993</v>
      </c>
      <c r="F37" s="30">
        <f>IFERROR(F22/$B37,0)</f>
        <v>312873892913.53723</v>
      </c>
      <c r="G37" s="30">
        <f t="shared" si="20"/>
        <v>3809.7069630635656</v>
      </c>
      <c r="H37" s="38">
        <f>IFERROR(s_RadSpec!$I$22*H22,".")*$B$37</f>
        <v>1.0225875E-8</v>
      </c>
      <c r="I37" s="38">
        <f>IFERROR(s_RadSpec!$G$22*I22,".")*$B$37</f>
        <v>2.8984938493479236E-9</v>
      </c>
      <c r="J37" s="38">
        <f>IFERROR(s_RadSpec!$F$22*J22,".")*$B$37</f>
        <v>1.5980879559617818E-16</v>
      </c>
      <c r="K37" s="47">
        <f t="shared" si="10"/>
        <v>1.0225875E-8</v>
      </c>
      <c r="L37" s="47">
        <f t="shared" si="10"/>
        <v>2.8984938493479236E-9</v>
      </c>
      <c r="M37" s="47">
        <f t="shared" si="10"/>
        <v>1.5980879559617818E-16</v>
      </c>
      <c r="N37" s="47">
        <f t="shared" si="14"/>
        <v>1.312436900915672E-8</v>
      </c>
      <c r="O37" s="30">
        <f t="shared" ref="O37:AE37" si="23">IFERROR(O22/$B37,0)</f>
        <v>312873892913.53723</v>
      </c>
      <c r="P37" s="30">
        <f t="shared" si="23"/>
        <v>393750938410.32318</v>
      </c>
      <c r="Q37" s="30">
        <f t="shared" si="23"/>
        <v>221527583580.02179</v>
      </c>
      <c r="R37" s="30">
        <f t="shared" si="23"/>
        <v>227403489544.61642</v>
      </c>
      <c r="S37" s="30">
        <f t="shared" si="23"/>
        <v>1112670412367.2112</v>
      </c>
      <c r="T37" s="38">
        <f>IFERROR(s_RadSpec!$F$22*T22,".")*$B$37</f>
        <v>1.5980879559617818E-16</v>
      </c>
      <c r="U37" s="38">
        <f>IFERROR(s_RadSpec!$M$22*U22,".")*$B$37</f>
        <v>1.2698382434811012E-16</v>
      </c>
      <c r="V37" s="38">
        <f>IFERROR(s_RadSpec!$N$22*V22,".")*$B$37</f>
        <v>2.2570552701369865E-16</v>
      </c>
      <c r="W37" s="38">
        <f>IFERROR(s_RadSpec!$O$22*W22,".")*$B$37</f>
        <v>2.1987349490602273E-16</v>
      </c>
      <c r="X37" s="38">
        <f>IFERROR(s_RadSpec!$K$22*X22,".")*$B$37</f>
        <v>4.4936936800201953E-17</v>
      </c>
      <c r="Y37" s="47">
        <f t="shared" si="16"/>
        <v>1.5980879559617818E-16</v>
      </c>
      <c r="Z37" s="47">
        <f t="shared" si="12"/>
        <v>1.2698382434811012E-16</v>
      </c>
      <c r="AA37" s="47">
        <f t="shared" si="12"/>
        <v>2.2570552701369865E-16</v>
      </c>
      <c r="AB37" s="47">
        <f t="shared" si="12"/>
        <v>2.1987349490602273E-16</v>
      </c>
      <c r="AC37" s="47">
        <f t="shared" si="12"/>
        <v>4.4936936800201953E-17</v>
      </c>
      <c r="AD37" s="30">
        <f t="shared" si="23"/>
        <v>5.5604016000055607E-2</v>
      </c>
      <c r="AE37" s="30">
        <f t="shared" si="23"/>
        <v>1726667.1803619796</v>
      </c>
      <c r="AF37" s="30">
        <f t="shared" si="17"/>
        <v>5.5604014209434623E-2</v>
      </c>
      <c r="AG37" s="38">
        <f>IFERROR(s_RadSpec!$G$22*AG22,".")*$B$37</f>
        <v>8.9921562499999997E-4</v>
      </c>
      <c r="AH37" s="38">
        <f>IFERROR(s_RadSpec!$J$22*AH22,".")*$B$37</f>
        <v>2.8957520342465756E-11</v>
      </c>
      <c r="AI37" s="47">
        <f t="shared" si="18"/>
        <v>8.9921562499999997E-4</v>
      </c>
      <c r="AJ37" s="47">
        <f t="shared" si="18"/>
        <v>2.8957520342465756E-11</v>
      </c>
      <c r="AK37" s="47">
        <f t="shared" si="19"/>
        <v>8.9921565395752027E-4</v>
      </c>
    </row>
    <row r="38" spans="1:37" x14ac:dyDescent="0.25">
      <c r="A38" s="29" t="s">
        <v>296</v>
      </c>
      <c r="B38" s="24">
        <v>1</v>
      </c>
      <c r="C38" s="2"/>
      <c r="D38" s="30">
        <f>IFERROR(D2/$B38,0)</f>
        <v>4027.8728803318968</v>
      </c>
      <c r="E38" s="30">
        <f>IFERROR(E2/$B38,0)</f>
        <v>15797.913613208446</v>
      </c>
      <c r="F38" s="30">
        <f>IFERROR(F2/$B38,0)</f>
        <v>51280.717010750537</v>
      </c>
      <c r="G38" s="30">
        <f t="shared" si="20"/>
        <v>3020.5092095409709</v>
      </c>
      <c r="H38" s="38">
        <f>IFERROR(s_RadSpec!$I$2*H2,".")*$B$38</f>
        <v>1.2413499999999999E-8</v>
      </c>
      <c r="I38" s="38">
        <f>IFERROR(s_RadSpec!$G$2*I2,".")*$B$38</f>
        <v>3.1649748963176765E-9</v>
      </c>
      <c r="J38" s="38">
        <f>IFERROR(s_RadSpec!$F$2*J2,".")*$B$38</f>
        <v>9.7502536849315046E-10</v>
      </c>
      <c r="K38" s="47">
        <f t="shared" si="10"/>
        <v>1.2413499999999999E-8</v>
      </c>
      <c r="L38" s="47">
        <f t="shared" si="10"/>
        <v>3.1649748963176765E-9</v>
      </c>
      <c r="M38" s="47">
        <f t="shared" si="10"/>
        <v>9.7502536849315046E-10</v>
      </c>
      <c r="N38" s="47">
        <f t="shared" si="14"/>
        <v>1.6553500264810825E-8</v>
      </c>
      <c r="O38" s="30">
        <f t="shared" ref="O38:AE38" si="24">IFERROR(O2/$B38,0)</f>
        <v>51280.717010750537</v>
      </c>
      <c r="P38" s="30">
        <f t="shared" si="24"/>
        <v>370158.53721315187</v>
      </c>
      <c r="Q38" s="30">
        <f t="shared" si="24"/>
        <v>97106.11825889413</v>
      </c>
      <c r="R38" s="30">
        <f t="shared" si="24"/>
        <v>60068.20225578206</v>
      </c>
      <c r="S38" s="30">
        <f t="shared" si="24"/>
        <v>2812015.3399471873</v>
      </c>
      <c r="T38" s="38">
        <f>IFERROR(s_RadSpec!$F$2*T2,".")*$B$38</f>
        <v>9.7502536849315046E-10</v>
      </c>
      <c r="U38" s="38">
        <f>IFERROR(s_RadSpec!$M$2*U2,".")*$B$38</f>
        <v>1.3507725737312401E-10</v>
      </c>
      <c r="V38" s="38">
        <f>IFERROR(s_RadSpec!$N$2*V2,".")*$B$38</f>
        <v>5.1490061487882021E-10</v>
      </c>
      <c r="W38" s="38">
        <f>IFERROR(s_RadSpec!$O$2*W2,".")*$B$38</f>
        <v>8.3238715530540284E-10</v>
      </c>
      <c r="X38" s="38">
        <f>IFERROR(s_RadSpec!$K$2*X2,".")*$B$38</f>
        <v>1.7780841835997618E-11</v>
      </c>
      <c r="Y38" s="47">
        <f t="shared" si="16"/>
        <v>9.7502536849315046E-10</v>
      </c>
      <c r="Z38" s="47">
        <f t="shared" si="12"/>
        <v>1.3507725737312401E-10</v>
      </c>
      <c r="AA38" s="47">
        <f t="shared" si="12"/>
        <v>5.1490061487882021E-10</v>
      </c>
      <c r="AB38" s="47">
        <f t="shared" si="12"/>
        <v>8.3238715530540284E-10</v>
      </c>
      <c r="AC38" s="47">
        <f t="shared" si="12"/>
        <v>1.7780841835997618E-11</v>
      </c>
      <c r="AD38" s="30">
        <f t="shared" si="24"/>
        <v>5.092233071507684E-2</v>
      </c>
      <c r="AE38" s="30">
        <f t="shared" si="24"/>
        <v>618624.52266937145</v>
      </c>
      <c r="AF38" s="30">
        <f t="shared" si="17"/>
        <v>5.0922326523384694E-2</v>
      </c>
      <c r="AG38" s="38">
        <f>IFERROR(s_RadSpec!$G$2*AG2,".")*$B$38</f>
        <v>9.8188750000000003E-4</v>
      </c>
      <c r="AH38" s="38">
        <f>IFERROR(s_RadSpec!$J$2*AH2,".")*$B$38</f>
        <v>8.082447133561645E-11</v>
      </c>
      <c r="AI38" s="47">
        <f t="shared" si="18"/>
        <v>9.8188750000000003E-4</v>
      </c>
      <c r="AJ38" s="47">
        <f t="shared" si="18"/>
        <v>8.082447133561645E-11</v>
      </c>
      <c r="AK38" s="47">
        <f t="shared" si="19"/>
        <v>9.8188758082447128E-4</v>
      </c>
    </row>
    <row r="39" spans="1:37" x14ac:dyDescent="0.25">
      <c r="A39" s="29" t="s">
        <v>297</v>
      </c>
      <c r="B39" s="24">
        <v>1</v>
      </c>
      <c r="C39" s="2"/>
      <c r="D39" s="30">
        <f>IFERROR(D11/$B39,0)</f>
        <v>0</v>
      </c>
      <c r="E39" s="30">
        <f>IFERROR(E11/$B39,0)</f>
        <v>0</v>
      </c>
      <c r="F39" s="30">
        <f>IFERROR(F11/$B39,0)</f>
        <v>17735.642875698581</v>
      </c>
      <c r="G39" s="30">
        <f t="shared" si="20"/>
        <v>17735.642875698581</v>
      </c>
      <c r="H39" s="38">
        <f>IFERROR(s_RadSpec!$I$11*H11,".")*$B$39</f>
        <v>0</v>
      </c>
      <c r="I39" s="38">
        <f>IFERROR(s_RadSpec!$G$11*I11,".")*$B$39</f>
        <v>0</v>
      </c>
      <c r="J39" s="38">
        <f>IFERROR(s_RadSpec!$F$11*J11,".")*$B$39</f>
        <v>2.8191817094214349E-9</v>
      </c>
      <c r="K39" s="47">
        <f t="shared" si="10"/>
        <v>0</v>
      </c>
      <c r="L39" s="47">
        <f t="shared" si="10"/>
        <v>0</v>
      </c>
      <c r="M39" s="47">
        <f t="shared" si="10"/>
        <v>2.8191817094214349E-9</v>
      </c>
      <c r="N39" s="47">
        <f t="shared" si="14"/>
        <v>2.8191817094214349E-9</v>
      </c>
      <c r="O39" s="30">
        <f t="shared" ref="O39:AE39" si="25">IFERROR(O11/$B39,0)</f>
        <v>17735.642875698581</v>
      </c>
      <c r="P39" s="30">
        <f t="shared" si="25"/>
        <v>91936.232315342218</v>
      </c>
      <c r="Q39" s="30">
        <f t="shared" si="25"/>
        <v>25860.048827301296</v>
      </c>
      <c r="R39" s="30">
        <f t="shared" si="25"/>
        <v>17223.235577501018</v>
      </c>
      <c r="S39" s="30">
        <f t="shared" si="25"/>
        <v>173686.08424555103</v>
      </c>
      <c r="T39" s="38">
        <f>IFERROR(s_RadSpec!$F$11*T11,".")*$B$39</f>
        <v>2.8191817094214349E-9</v>
      </c>
      <c r="U39" s="38">
        <f>IFERROR(s_RadSpec!$M$11*U11,".")*$B$39</f>
        <v>5.4385522161164389E-10</v>
      </c>
      <c r="V39" s="38">
        <f>IFERROR(s_RadSpec!$N$11*V11,".")*$B$39</f>
        <v>1.9334843616850933E-9</v>
      </c>
      <c r="W39" s="38">
        <f>IFERROR(s_RadSpec!$O$11*W11,".")*$B$39</f>
        <v>2.9030549907426096E-9</v>
      </c>
      <c r="X39" s="38">
        <f>IFERROR(s_RadSpec!$K$11*X11,".")*$B$39</f>
        <v>2.8787568225276951E-10</v>
      </c>
      <c r="Y39" s="47">
        <f t="shared" si="16"/>
        <v>2.8191817094214349E-9</v>
      </c>
      <c r="Z39" s="47">
        <f t="shared" si="12"/>
        <v>5.4385522161164389E-10</v>
      </c>
      <c r="AA39" s="47">
        <f t="shared" si="12"/>
        <v>1.9334843616850933E-9</v>
      </c>
      <c r="AB39" s="47">
        <f t="shared" si="12"/>
        <v>2.9030549907426096E-9</v>
      </c>
      <c r="AC39" s="47">
        <f t="shared" si="12"/>
        <v>2.8787568225276951E-10</v>
      </c>
      <c r="AD39" s="30">
        <f t="shared" si="25"/>
        <v>0</v>
      </c>
      <c r="AE39" s="30">
        <f t="shared" si="25"/>
        <v>276406.7016182298</v>
      </c>
      <c r="AF39" s="30">
        <f t="shared" si="17"/>
        <v>276406.7016182298</v>
      </c>
      <c r="AG39" s="38">
        <f>IFERROR(s_RadSpec!$G$11*AG11,".")*$B$39</f>
        <v>0</v>
      </c>
      <c r="AH39" s="38">
        <f>IFERROR(s_RadSpec!$J$11*AH11,".")*$B$39</f>
        <v>1.8089286441780824E-10</v>
      </c>
      <c r="AI39" s="47">
        <f t="shared" si="18"/>
        <v>0</v>
      </c>
      <c r="AJ39" s="47">
        <f t="shared" si="18"/>
        <v>1.8089286441780824E-10</v>
      </c>
      <c r="AK39" s="47">
        <f t="shared" si="19"/>
        <v>1.8089286441780824E-10</v>
      </c>
    </row>
    <row r="40" spans="1:37" x14ac:dyDescent="0.25">
      <c r="A40" s="29" t="s">
        <v>298</v>
      </c>
      <c r="B40" s="24">
        <v>1</v>
      </c>
      <c r="C40" s="2"/>
      <c r="D40" s="30">
        <f>IFERROR(D4/$B40,0)</f>
        <v>0</v>
      </c>
      <c r="E40" s="30">
        <f>IFERROR(E4/$B40,0)</f>
        <v>0</v>
      </c>
      <c r="F40" s="30">
        <f>IFERROR(F4/$B40,0)</f>
        <v>1102390.9563362135</v>
      </c>
      <c r="G40" s="30">
        <f t="shared" si="20"/>
        <v>1102390.9563362135</v>
      </c>
      <c r="H40" s="38">
        <f>IFERROR(s_RadSpec!$I$4*H4,".")*$B$40</f>
        <v>0</v>
      </c>
      <c r="I40" s="38">
        <f>IFERROR(s_RadSpec!$G$4*I4,".")*$B$40</f>
        <v>0</v>
      </c>
      <c r="J40" s="38">
        <f>IFERROR(s_RadSpec!$F$4*J4,".")*$B$40</f>
        <v>4.5355959891193735E-11</v>
      </c>
      <c r="K40" s="47">
        <f t="shared" si="10"/>
        <v>0</v>
      </c>
      <c r="L40" s="47">
        <f t="shared" si="10"/>
        <v>0</v>
      </c>
      <c r="M40" s="47">
        <f t="shared" si="10"/>
        <v>4.5355959891193735E-11</v>
      </c>
      <c r="N40" s="47">
        <f t="shared" si="14"/>
        <v>4.5355959891193735E-11</v>
      </c>
      <c r="O40" s="30">
        <f t="shared" ref="O40:AE40" si="26">IFERROR(O4/$B40,0)</f>
        <v>1102390.9563362135</v>
      </c>
      <c r="P40" s="30">
        <f t="shared" si="26"/>
        <v>7773508.8887110436</v>
      </c>
      <c r="Q40" s="30">
        <f t="shared" si="26"/>
        <v>2027103.7507221773</v>
      </c>
      <c r="R40" s="30">
        <f t="shared" si="26"/>
        <v>1201420.5340315313</v>
      </c>
      <c r="S40" s="30">
        <f t="shared" si="26"/>
        <v>14639779.359287301</v>
      </c>
      <c r="T40" s="38">
        <f>IFERROR(s_RadSpec!$F$4*T4,".")*$B$40</f>
        <v>4.5355959891193735E-11</v>
      </c>
      <c r="U40" s="38">
        <f>IFERROR(s_RadSpec!$M$4*U4,".")*$B$40</f>
        <v>6.4321017336986295E-12</v>
      </c>
      <c r="V40" s="38">
        <f>IFERROR(s_RadSpec!$N$4*V4,".")*$B$40</f>
        <v>2.4665733059882596E-11</v>
      </c>
      <c r="W40" s="38">
        <f>IFERROR(s_RadSpec!$O$4*W4,".")*$B$40</f>
        <v>4.1617400888112131E-11</v>
      </c>
      <c r="X40" s="38">
        <f>IFERROR(s_RadSpec!$K$4*X4,".")*$B$40</f>
        <v>3.4153520195152815E-12</v>
      </c>
      <c r="Y40" s="47">
        <f t="shared" si="16"/>
        <v>4.5355959891193735E-11</v>
      </c>
      <c r="Z40" s="47">
        <f t="shared" si="12"/>
        <v>6.4321017336986295E-12</v>
      </c>
      <c r="AA40" s="47">
        <f t="shared" si="12"/>
        <v>2.4665733059882596E-11</v>
      </c>
      <c r="AB40" s="47">
        <f t="shared" si="12"/>
        <v>4.1617400888112131E-11</v>
      </c>
      <c r="AC40" s="47">
        <f t="shared" si="12"/>
        <v>3.4153520195152815E-12</v>
      </c>
      <c r="AD40" s="30">
        <f t="shared" si="26"/>
        <v>0</v>
      </c>
      <c r="AE40" s="30">
        <f t="shared" si="26"/>
        <v>32633183.552295782</v>
      </c>
      <c r="AF40" s="30">
        <f t="shared" si="17"/>
        <v>32633183.552295785</v>
      </c>
      <c r="AG40" s="38">
        <f>IFERROR(s_RadSpec!$G$4*AG4,".")*$B$40</f>
        <v>0</v>
      </c>
      <c r="AH40" s="38">
        <f>IFERROR(s_RadSpec!$J$4*AH4,".")*$B$40</f>
        <v>1.5321827219178085E-12</v>
      </c>
      <c r="AI40" s="47">
        <f t="shared" si="18"/>
        <v>0</v>
      </c>
      <c r="AJ40" s="47">
        <f t="shared" si="18"/>
        <v>1.5321827219178085E-12</v>
      </c>
      <c r="AK40" s="47">
        <f t="shared" si="19"/>
        <v>1.5321827219178085E-12</v>
      </c>
    </row>
    <row r="41" spans="1:37" x14ac:dyDescent="0.25">
      <c r="A41" s="29" t="s">
        <v>299</v>
      </c>
      <c r="B41" s="31">
        <v>0.99987999999999999</v>
      </c>
      <c r="C41" s="111"/>
      <c r="D41" s="30">
        <f>IFERROR(D8/$B41,0)</f>
        <v>1146929.9102368164</v>
      </c>
      <c r="E41" s="30">
        <f>IFERROR(E8/$B41,0)</f>
        <v>6098726.5018786872</v>
      </c>
      <c r="F41" s="30">
        <f>IFERROR(F8/$B41,0)</f>
        <v>1215.6752630365224</v>
      </c>
      <c r="G41" s="30">
        <f t="shared" si="20"/>
        <v>1214.1463235099357</v>
      </c>
      <c r="H41" s="38">
        <f>IFERROR(s_RadSpec!$I$8*H8,".")*$B$41</f>
        <v>4.3594643015000003E-11</v>
      </c>
      <c r="I41" s="38">
        <f>IFERROR(s_RadSpec!$G$8*I8,".")*$B$41</f>
        <v>8.1984328998189588E-12</v>
      </c>
      <c r="J41" s="38">
        <f>IFERROR(s_RadSpec!$F$8*J8,".")*$B$41</f>
        <v>4.1129404801007169E-8</v>
      </c>
      <c r="K41" s="47">
        <f t="shared" si="10"/>
        <v>4.3594643015000003E-11</v>
      </c>
      <c r="L41" s="47">
        <f t="shared" si="10"/>
        <v>8.1984328998189588E-12</v>
      </c>
      <c r="M41" s="47">
        <f t="shared" si="10"/>
        <v>4.1129404801007169E-8</v>
      </c>
      <c r="N41" s="47">
        <f t="shared" si="14"/>
        <v>4.118119787692199E-8</v>
      </c>
      <c r="O41" s="30">
        <f t="shared" ref="O41:AE41" si="27">IFERROR(O8/$B41,0)</f>
        <v>1215.6752630365224</v>
      </c>
      <c r="P41" s="30">
        <f t="shared" si="27"/>
        <v>10294.651762921865</v>
      </c>
      <c r="Q41" s="30">
        <f t="shared" si="27"/>
        <v>2689.7197591381769</v>
      </c>
      <c r="R41" s="30">
        <f t="shared" si="27"/>
        <v>1630.1390643575965</v>
      </c>
      <c r="S41" s="30">
        <f t="shared" si="27"/>
        <v>18667.391922702351</v>
      </c>
      <c r="T41" s="38">
        <f>IFERROR(s_RadSpec!$F$8*T8,".")*$B$41</f>
        <v>4.1129404801007169E-8</v>
      </c>
      <c r="U41" s="38">
        <f>IFERROR(s_RadSpec!$M$8*U8,".")*$B$41</f>
        <v>4.8568908547333723E-9</v>
      </c>
      <c r="V41" s="38">
        <f>IFERROR(s_RadSpec!$N$8*V8,".")*$B$41</f>
        <v>1.8589297204709798E-8</v>
      </c>
      <c r="W41" s="38">
        <f>IFERROR(s_RadSpec!$O$8*W8,".")*$B$41</f>
        <v>3.0672229807402329E-8</v>
      </c>
      <c r="X41" s="38">
        <f>IFERROR(s_RadSpec!$K$8*X8,".")*$B$41</f>
        <v>2.6784673620738907E-9</v>
      </c>
      <c r="Y41" s="47">
        <f t="shared" si="16"/>
        <v>4.1129404801007169E-8</v>
      </c>
      <c r="Z41" s="47">
        <f t="shared" si="12"/>
        <v>4.8568908547333723E-9</v>
      </c>
      <c r="AA41" s="47">
        <f t="shared" si="12"/>
        <v>1.8589297204709798E-8</v>
      </c>
      <c r="AB41" s="47">
        <f t="shared" si="12"/>
        <v>3.0672229807402329E-8</v>
      </c>
      <c r="AC41" s="47">
        <f t="shared" si="12"/>
        <v>2.6784673620738907E-9</v>
      </c>
      <c r="AD41" s="30">
        <f t="shared" si="27"/>
        <v>19.658378661459036</v>
      </c>
      <c r="AE41" s="30">
        <f t="shared" si="27"/>
        <v>59834.683341209886</v>
      </c>
      <c r="AF41" s="30">
        <f t="shared" si="17"/>
        <v>19.651922123127932</v>
      </c>
      <c r="AG41" s="38">
        <f>IFERROR(s_RadSpec!$G$8*AG8,".")*$B$41</f>
        <v>2.54344475E-6</v>
      </c>
      <c r="AH41" s="38">
        <f>IFERROR(s_RadSpec!$J$8*AH8,".")*$B$41</f>
        <v>8.3563574181336991E-10</v>
      </c>
      <c r="AI41" s="47">
        <f t="shared" si="18"/>
        <v>2.54344475E-6</v>
      </c>
      <c r="AJ41" s="47">
        <f t="shared" si="18"/>
        <v>8.3563574181336991E-10</v>
      </c>
      <c r="AK41" s="47">
        <f t="shared" si="19"/>
        <v>2.5442803857418135E-6</v>
      </c>
    </row>
    <row r="42" spans="1:37" x14ac:dyDescent="0.25">
      <c r="A42" s="29" t="s">
        <v>300</v>
      </c>
      <c r="B42" s="24">
        <v>0.97898250799999997</v>
      </c>
      <c r="C42" s="2"/>
      <c r="D42" s="30">
        <f>IFERROR(D19/$B42,0)</f>
        <v>0</v>
      </c>
      <c r="E42" s="30">
        <f>IFERROR(E19/$B42,0)</f>
        <v>0</v>
      </c>
      <c r="F42" s="30">
        <f>IFERROR(F19/$B42,0)</f>
        <v>2700538.2863219171</v>
      </c>
      <c r="G42" s="30">
        <f t="shared" si="20"/>
        <v>2700538.2863219171</v>
      </c>
      <c r="H42" s="48">
        <f>IFERROR(s_RadSpec!$I$19*H19,".")*$B$42</f>
        <v>0</v>
      </c>
      <c r="I42" s="48">
        <f>IFERROR(s_RadSpec!$G$19*I19,".")*$B$42</f>
        <v>0</v>
      </c>
      <c r="J42" s="48">
        <f>IFERROR(s_RadSpec!$F$19*J19,".")*$B$42</f>
        <v>1.8514827304336828E-11</v>
      </c>
      <c r="K42" s="47">
        <f t="shared" si="10"/>
        <v>0</v>
      </c>
      <c r="L42" s="47">
        <f t="shared" si="10"/>
        <v>0</v>
      </c>
      <c r="M42" s="47">
        <f t="shared" si="10"/>
        <v>1.8514827304336828E-11</v>
      </c>
      <c r="N42" s="47">
        <f t="shared" si="14"/>
        <v>1.8514827304336828E-11</v>
      </c>
      <c r="O42" s="30">
        <f t="shared" ref="O42:AE42" si="28">IFERROR(O19/$B42,0)</f>
        <v>2700538.2863219171</v>
      </c>
      <c r="P42" s="30">
        <f t="shared" si="28"/>
        <v>26781286.623580631</v>
      </c>
      <c r="Q42" s="30">
        <f t="shared" si="28"/>
        <v>6592095.7306884341</v>
      </c>
      <c r="R42" s="30">
        <f t="shared" si="28"/>
        <v>3530452.280827017</v>
      </c>
      <c r="S42" s="30">
        <f t="shared" si="28"/>
        <v>47399171.246695966</v>
      </c>
      <c r="T42" s="48">
        <f>IFERROR(s_RadSpec!$F$19*T19,".")*$B$42</f>
        <v>1.8514827304336828E-11</v>
      </c>
      <c r="U42" s="48">
        <f>IFERROR(s_RadSpec!$M$19*U19,".")*$B$42</f>
        <v>1.8669752765341582E-12</v>
      </c>
      <c r="V42" s="48">
        <f>IFERROR(s_RadSpec!$N$19*V19,".")*$B$42</f>
        <v>7.5848413073300975E-12</v>
      </c>
      <c r="W42" s="48">
        <f>IFERROR(s_RadSpec!$O$19*W19,".")*$B$42</f>
        <v>1.416249138149727E-11</v>
      </c>
      <c r="X42" s="48">
        <f>IFERROR(s_RadSpec!$K$19*X19,".")*$B$42</f>
        <v>1.0548707642960179E-12</v>
      </c>
      <c r="Y42" s="47">
        <f t="shared" si="16"/>
        <v>1.8514827304336828E-11</v>
      </c>
      <c r="Z42" s="47">
        <f t="shared" si="12"/>
        <v>1.8669752765341582E-12</v>
      </c>
      <c r="AA42" s="47">
        <f t="shared" si="12"/>
        <v>7.5848413073300975E-12</v>
      </c>
      <c r="AB42" s="47">
        <f t="shared" si="12"/>
        <v>1.416249138149727E-11</v>
      </c>
      <c r="AC42" s="47">
        <f t="shared" si="12"/>
        <v>1.0548707642960179E-12</v>
      </c>
      <c r="AD42" s="30">
        <f t="shared" si="28"/>
        <v>0</v>
      </c>
      <c r="AE42" s="30">
        <f t="shared" si="28"/>
        <v>201935048.33329412</v>
      </c>
      <c r="AF42" s="30">
        <f t="shared" si="17"/>
        <v>201935048.33329412</v>
      </c>
      <c r="AG42" s="48">
        <f>IFERROR(s_RadSpec!$G$19*AG19,".")*$B$42</f>
        <v>0</v>
      </c>
      <c r="AH42" s="48">
        <f>IFERROR(s_RadSpec!$J$19*AH19,".")*$B$42</f>
        <v>2.4760436790286605E-13</v>
      </c>
      <c r="AI42" s="47">
        <f t="shared" si="18"/>
        <v>0</v>
      </c>
      <c r="AJ42" s="47">
        <f t="shared" si="18"/>
        <v>2.4760436790286605E-13</v>
      </c>
      <c r="AK42" s="47">
        <f t="shared" si="19"/>
        <v>2.4760436790286605E-13</v>
      </c>
    </row>
    <row r="43" spans="1:37" x14ac:dyDescent="0.25">
      <c r="A43" s="29" t="s">
        <v>301</v>
      </c>
      <c r="B43" s="24">
        <v>2.0897492E-2</v>
      </c>
      <c r="C43" s="2"/>
      <c r="D43" s="30">
        <f>IFERROR(D28/$B43,0)</f>
        <v>0</v>
      </c>
      <c r="E43" s="30">
        <f>IFERROR(E28/$B43,0)</f>
        <v>0</v>
      </c>
      <c r="F43" s="30">
        <f>IFERROR(F28/$B43,0)</f>
        <v>1507.4226843438905</v>
      </c>
      <c r="G43" s="30">
        <f t="shared" si="20"/>
        <v>1507.4226843438905</v>
      </c>
      <c r="H43" s="48">
        <f>IFERROR(s_RadSpec!$I$28*H28,".")*$B$43</f>
        <v>0</v>
      </c>
      <c r="I43" s="48">
        <f>IFERROR(s_RadSpec!$G$28*I28,".")*$B$43</f>
        <v>0</v>
      </c>
      <c r="J43" s="48">
        <f>IFERROR(s_RadSpec!$F$28*J28,".")*$B$43</f>
        <v>3.3169197013751088E-8</v>
      </c>
      <c r="K43" s="47">
        <f t="shared" si="10"/>
        <v>0</v>
      </c>
      <c r="L43" s="47">
        <f t="shared" si="10"/>
        <v>0</v>
      </c>
      <c r="M43" s="47">
        <f t="shared" si="10"/>
        <v>3.3169197013751088E-8</v>
      </c>
      <c r="N43" s="47">
        <f t="shared" si="14"/>
        <v>3.3169197013751088E-8</v>
      </c>
      <c r="O43" s="30">
        <f t="shared" ref="O43:AE43" si="29">IFERROR(O28/$B43,0)</f>
        <v>1507.4226843438905</v>
      </c>
      <c r="P43" s="30">
        <f t="shared" si="29"/>
        <v>18207.269031458251</v>
      </c>
      <c r="Q43" s="30">
        <f t="shared" si="29"/>
        <v>4400.6565980517116</v>
      </c>
      <c r="R43" s="30">
        <f t="shared" si="29"/>
        <v>2394.336852527656</v>
      </c>
      <c r="S43" s="30">
        <f t="shared" si="29"/>
        <v>32853.225354562688</v>
      </c>
      <c r="T43" s="48">
        <f>IFERROR(s_RadSpec!$F$28*T28,".")*$B$43</f>
        <v>3.3169197013751088E-8</v>
      </c>
      <c r="U43" s="48">
        <f>IFERROR(s_RadSpec!$M$28*U28,".")*$B$43</f>
        <v>2.7461559398947074E-9</v>
      </c>
      <c r="V43" s="48">
        <f>IFERROR(s_RadSpec!$N$28*V28,".")*$B$43</f>
        <v>1.136194085722034E-8</v>
      </c>
      <c r="W43" s="48">
        <f>IFERROR(s_RadSpec!$O$28*W28,".")*$B$43</f>
        <v>2.0882608872354766E-8</v>
      </c>
      <c r="X43" s="48">
        <f>IFERROR(s_RadSpec!$K$28*X28,".")*$B$43</f>
        <v>1.5219205864990042E-9</v>
      </c>
      <c r="Y43" s="47">
        <f t="shared" si="16"/>
        <v>3.3169197013751088E-8</v>
      </c>
      <c r="Z43" s="47">
        <f t="shared" si="12"/>
        <v>2.7461559398947074E-9</v>
      </c>
      <c r="AA43" s="47">
        <f t="shared" si="12"/>
        <v>1.136194085722034E-8</v>
      </c>
      <c r="AB43" s="47">
        <f t="shared" si="12"/>
        <v>2.0882608872354766E-8</v>
      </c>
      <c r="AC43" s="47">
        <f t="shared" si="12"/>
        <v>1.5219205864990042E-9</v>
      </c>
      <c r="AD43" s="30">
        <f t="shared" si="29"/>
        <v>0</v>
      </c>
      <c r="AE43" s="30">
        <f t="shared" si="29"/>
        <v>159205.36587461611</v>
      </c>
      <c r="AF43" s="30">
        <f t="shared" si="17"/>
        <v>159205.36587461611</v>
      </c>
      <c r="AG43" s="48">
        <f>IFERROR(s_RadSpec!$G$28*AG28,".")*$B$43</f>
        <v>0</v>
      </c>
      <c r="AH43" s="48">
        <f>IFERROR(s_RadSpec!$J$28*AH28,".")*$B$43</f>
        <v>3.1405976629819151E-10</v>
      </c>
      <c r="AI43" s="47">
        <f t="shared" si="18"/>
        <v>0</v>
      </c>
      <c r="AJ43" s="47">
        <f t="shared" si="18"/>
        <v>3.1405976629819151E-10</v>
      </c>
      <c r="AK43" s="47">
        <f t="shared" si="19"/>
        <v>3.1405976629819151E-10</v>
      </c>
    </row>
    <row r="44" spans="1:37" x14ac:dyDescent="0.25">
      <c r="A44" s="29" t="s">
        <v>302</v>
      </c>
      <c r="B44" s="24">
        <v>0.99987999999999999</v>
      </c>
      <c r="C44" s="2"/>
      <c r="D44" s="30">
        <f>IFERROR(D15/$B44,0)</f>
        <v>2978542.2214331864</v>
      </c>
      <c r="E44" s="30">
        <f>IFERROR(E15/$B44,0)</f>
        <v>2170365303.1596746</v>
      </c>
      <c r="F44" s="30">
        <f>IFERROR(F15/$B44,0)</f>
        <v>0</v>
      </c>
      <c r="G44" s="30">
        <f t="shared" si="20"/>
        <v>2974460.1642917381</v>
      </c>
      <c r="H44" s="38">
        <f>IFERROR(s_RadSpec!$I$15*H15,".")*$B$44</f>
        <v>1.6786735349999999E-11</v>
      </c>
      <c r="I44" s="38">
        <f>IFERROR(s_RadSpec!$G$15*I15,".")*$B$44</f>
        <v>2.3037596448491273E-14</v>
      </c>
      <c r="J44" s="38">
        <f>IFERROR(s_RadSpec!$F$15*J15,".")*$B$44</f>
        <v>0</v>
      </c>
      <c r="K44" s="47">
        <f t="shared" si="10"/>
        <v>1.6786735349999999E-11</v>
      </c>
      <c r="L44" s="47">
        <f t="shared" si="10"/>
        <v>2.3037596448491273E-14</v>
      </c>
      <c r="M44" s="47">
        <f t="shared" si="10"/>
        <v>0</v>
      </c>
      <c r="N44" s="47">
        <f t="shared" si="14"/>
        <v>1.6809772946448491E-11</v>
      </c>
      <c r="O44" s="30">
        <f t="shared" ref="O44:AE44" si="30">IFERROR(O15/$B44,0)</f>
        <v>0</v>
      </c>
      <c r="P44" s="30">
        <f t="shared" si="30"/>
        <v>0</v>
      </c>
      <c r="Q44" s="30">
        <f t="shared" si="30"/>
        <v>0</v>
      </c>
      <c r="R44" s="30">
        <f t="shared" si="30"/>
        <v>0</v>
      </c>
      <c r="S44" s="30">
        <f t="shared" si="30"/>
        <v>0</v>
      </c>
      <c r="T44" s="38">
        <f>IFERROR(s_RadSpec!$F$15*T15,".")*$B$44</f>
        <v>0</v>
      </c>
      <c r="U44" s="38">
        <f>IFERROR(s_RadSpec!$M$15*U15,".")*$B$44</f>
        <v>0</v>
      </c>
      <c r="V44" s="38">
        <f>IFERROR(s_RadSpec!$N$15*V15,".")*$B$44</f>
        <v>0</v>
      </c>
      <c r="W44" s="38">
        <f>IFERROR(s_RadSpec!$O$15*W15,".")*$B$44</f>
        <v>0</v>
      </c>
      <c r="X44" s="38">
        <f>IFERROR(s_RadSpec!$K$15*X15,".")*$B$44</f>
        <v>0</v>
      </c>
      <c r="Y44" s="47">
        <f t="shared" si="16"/>
        <v>0</v>
      </c>
      <c r="Z44" s="47">
        <f t="shared" si="12"/>
        <v>0</v>
      </c>
      <c r="AA44" s="47">
        <f t="shared" si="12"/>
        <v>0</v>
      </c>
      <c r="AB44" s="47">
        <f t="shared" si="12"/>
        <v>0</v>
      </c>
      <c r="AC44" s="47">
        <f t="shared" si="12"/>
        <v>0</v>
      </c>
      <c r="AD44" s="30">
        <f t="shared" si="30"/>
        <v>6995.8642923341777</v>
      </c>
      <c r="AE44" s="30">
        <f t="shared" si="30"/>
        <v>18688092.8791724</v>
      </c>
      <c r="AF44" s="30">
        <f t="shared" si="17"/>
        <v>6993.2463792625504</v>
      </c>
      <c r="AG44" s="38">
        <f>IFERROR(s_RadSpec!$G$15*AG15,".")*$B$44</f>
        <v>7.1470797474999996E-9</v>
      </c>
      <c r="AH44" s="38">
        <f>IFERROR(s_RadSpec!$J$15*AH15,".")*$B$44</f>
        <v>2.6755004014200004E-12</v>
      </c>
      <c r="AI44" s="47">
        <f t="shared" si="18"/>
        <v>7.1470797474999996E-9</v>
      </c>
      <c r="AJ44" s="47">
        <f t="shared" si="18"/>
        <v>2.6755004014200004E-12</v>
      </c>
      <c r="AK44" s="47">
        <f t="shared" si="19"/>
        <v>7.1497552479014197E-9</v>
      </c>
    </row>
    <row r="45" spans="1:37" x14ac:dyDescent="0.25">
      <c r="A45" s="26" t="s">
        <v>20</v>
      </c>
      <c r="B45" s="26" t="s">
        <v>289</v>
      </c>
      <c r="C45" s="110"/>
      <c r="D45" s="27">
        <f>IFERROR(IF(AND(D46&lt;&gt;0,D47&lt;&gt;0),1/SUM(1/D46,1/D47),IF(AND(D46&lt;&gt;0,D47=0),1/(1/D46),IF(AND(D46=0,D47&lt;&gt;0),1/(1/D47),IF(AND(D46=0,D47=0),".")))),".")</f>
        <v>11441.222151350206</v>
      </c>
      <c r="E45" s="27">
        <f t="shared" ref="E45:G45" si="31">IFERROR(IF(AND(E46&lt;&gt;0,E47&lt;&gt;0),1/SUM(1/E46,1/E47),IF(AND(E46&lt;&gt;0,E47=0),1/(1/E46),IF(AND(E46=0,E47&lt;&gt;0),1/(1/E47),IF(AND(E46=0,E47=0),".")))),".")</f>
        <v>4011838.5886174073</v>
      </c>
      <c r="F45" s="27">
        <f t="shared" si="31"/>
        <v>209.25344343516534</v>
      </c>
      <c r="G45" s="28">
        <f t="shared" si="31"/>
        <v>205.4845304229863</v>
      </c>
      <c r="H45" s="45"/>
      <c r="I45" s="45"/>
      <c r="J45" s="45"/>
      <c r="K45" s="46">
        <f>IFERROR(IF(SUM(H46:H47)&gt;0.01,1-EXP(-SUM(H46:H47)),SUM(H46:H47)),".")</f>
        <v>4.3701625000000001E-9</v>
      </c>
      <c r="L45" s="46">
        <f>IFERROR(IF(SUM(I46:I47)&gt;0.01,1-EXP(-SUM(I46:I47)),SUM(I46:I47)),".")</f>
        <v>1.2463113581354581E-11</v>
      </c>
      <c r="M45" s="46">
        <f>IFERROR(IF(SUM(J46:J47)&gt;0.01,1-EXP(-SUM(J46:J47)),SUM(J46:J47)),".")</f>
        <v>2.3894469395191534E-7</v>
      </c>
      <c r="N45" s="46">
        <f>IFERROR(IF(SUM(H46:J47)&gt;0.01,1-EXP(-SUM(H46:J47)),SUM(H46:J47)),".")</f>
        <v>2.4332731956549668E-7</v>
      </c>
      <c r="O45" s="27">
        <f t="shared" ref="O45:AF45" si="32">IFERROR(IF(AND(O46&lt;&gt;0,O47&lt;&gt;0),1/SUM(1/O46,1/O47),IF(AND(O46&lt;&gt;0,O47=0),1/(1/O46),IF(AND(O46=0,O47&lt;&gt;0),1/(1/O47),IF(AND(O46=0,O47=0),".")))),".")</f>
        <v>209.25344343516534</v>
      </c>
      <c r="P45" s="27">
        <f t="shared" si="32"/>
        <v>1916.169647479489</v>
      </c>
      <c r="Q45" s="27">
        <f t="shared" si="32"/>
        <v>480.21874446199803</v>
      </c>
      <c r="R45" s="27">
        <f t="shared" si="32"/>
        <v>256.11508764563416</v>
      </c>
      <c r="S45" s="27">
        <f t="shared" si="32"/>
        <v>3284.9974006183716</v>
      </c>
      <c r="T45" s="45"/>
      <c r="U45" s="45"/>
      <c r="V45" s="45"/>
      <c r="W45" s="45"/>
      <c r="X45" s="45"/>
      <c r="Y45" s="46">
        <f>IFERROR(IF(SUM(T46:T47)&gt;0.01,1-EXP(-SUM(T46:T47)),SUM(T46:T47)),".")</f>
        <v>2.3894469395191534E-7</v>
      </c>
      <c r="Z45" s="46">
        <f t="shared" ref="Z45:AC45" si="33">IFERROR(IF(SUM(U46:U47)&gt;0.01,1-EXP(-SUM(U46:U47)),SUM(U46:U47)),".")</f>
        <v>2.609372299878016E-8</v>
      </c>
      <c r="AA45" s="46">
        <f t="shared" si="33"/>
        <v>1.0411921770362454E-7</v>
      </c>
      <c r="AB45" s="46">
        <f t="shared" si="33"/>
        <v>1.9522473455051188E-7</v>
      </c>
      <c r="AC45" s="46">
        <f t="shared" si="33"/>
        <v>1.5220712196176459E-8</v>
      </c>
      <c r="AD45" s="27">
        <f t="shared" si="32"/>
        <v>12.931591878960301</v>
      </c>
      <c r="AE45" s="27">
        <f t="shared" si="32"/>
        <v>13370.52986535405</v>
      </c>
      <c r="AF45" s="28">
        <f t="shared" si="32"/>
        <v>12.919096900059783</v>
      </c>
      <c r="AG45" s="45"/>
      <c r="AH45" s="45"/>
      <c r="AI45" s="46">
        <f>IFERROR(IF(SUM(AG46:AG47)&gt;0.01,1-EXP(-SUM(AG46:AG47)),SUM(AG46:AG47)),".")</f>
        <v>3.8665000000000002E-6</v>
      </c>
      <c r="AJ45" s="46">
        <f>IFERROR(IF(SUM(AH46:AH47)&gt;0.01,1-EXP(-SUM(AH46:AH47)),SUM(AH46:AH47)),".")</f>
        <v>3.7395675791100005E-9</v>
      </c>
      <c r="AK45" s="46">
        <f>IFERROR(IF(SUM(AG46:AH47)&gt;0.01,1-EXP(-SUM(AG46:AH47)),SUM(AG46:AH47)),".")</f>
        <v>3.8702395675791104E-6</v>
      </c>
    </row>
    <row r="46" spans="1:37" x14ac:dyDescent="0.25">
      <c r="A46" s="29" t="s">
        <v>303</v>
      </c>
      <c r="B46" s="24">
        <v>1</v>
      </c>
      <c r="C46" s="2"/>
      <c r="D46" s="30">
        <f>IFERROR(D10/$B46,0)</f>
        <v>11441.222151350206</v>
      </c>
      <c r="E46" s="30">
        <f>IFERROR(E10/$B46,0)</f>
        <v>4011838.5886174073</v>
      </c>
      <c r="F46" s="30">
        <f>IFERROR(F10/$B46,0)</f>
        <v>1126079.7336539719</v>
      </c>
      <c r="G46" s="30">
        <f t="shared" si="20"/>
        <v>11294.26023358452</v>
      </c>
      <c r="H46" s="38">
        <f>IFERROR(s_RadSpec!$I$10*H10,".")*$B$46</f>
        <v>4.3701625000000001E-9</v>
      </c>
      <c r="I46" s="38">
        <f>IFERROR(s_RadSpec!$G$10*I10,".")*$B$46</f>
        <v>1.2463113581354581E-11</v>
      </c>
      <c r="J46" s="38">
        <f>IFERROR(s_RadSpec!$F$10*J10,".")*$B$46</f>
        <v>4.4401829200634822E-11</v>
      </c>
      <c r="K46" s="47">
        <f t="shared" ref="K46:M47" si="34">IFERROR(IF(H46&gt;0.01,1-EXP(-H46),H46),".")</f>
        <v>4.3701625000000001E-9</v>
      </c>
      <c r="L46" s="47">
        <f t="shared" si="34"/>
        <v>1.2463113581354581E-11</v>
      </c>
      <c r="M46" s="47">
        <f t="shared" si="34"/>
        <v>4.4401829200634822E-11</v>
      </c>
      <c r="N46" s="47">
        <f t="shared" ref="N46:N47" si="35">IFERROR(IF(SUM(H46:J46)&gt;0.01,1-EXP(-SUM(H46:J46)),SUM(H46:J46)),".")</f>
        <v>4.4270274427819891E-9</v>
      </c>
      <c r="O46" s="30">
        <f t="shared" ref="O46:AE46" si="36">IFERROR(O10/$B46,0)</f>
        <v>1126079.7336539719</v>
      </c>
      <c r="P46" s="30">
        <f t="shared" si="36"/>
        <v>5036334.3522334527</v>
      </c>
      <c r="Q46" s="30">
        <f t="shared" si="36"/>
        <v>1631938.2147996817</v>
      </c>
      <c r="R46" s="30">
        <f t="shared" si="36"/>
        <v>1168344.1009563268</v>
      </c>
      <c r="S46" s="30">
        <f t="shared" si="36"/>
        <v>2943626.5840635528</v>
      </c>
      <c r="T46" s="38">
        <f>IFERROR(s_RadSpec!$F$10*T10,".")*$B46</f>
        <v>4.4401829200634822E-11</v>
      </c>
      <c r="U46" s="38">
        <f>IFERROR(s_RadSpec!$M$10*U10,".")*$B46</f>
        <v>9.9278555598332383E-12</v>
      </c>
      <c r="V46" s="38">
        <f>IFERROR(s_RadSpec!$N$10*V10,".")*$B46</f>
        <v>3.0638414828797582E-11</v>
      </c>
      <c r="W46" s="38">
        <f>IFERROR(s_RadSpec!$O$10*W10,".")*$B46</f>
        <v>4.279561129214709E-11</v>
      </c>
      <c r="X46" s="38">
        <f>IFERROR(s_RadSpec!$K$10*X10,".")*$B46</f>
        <v>1.698585013149906E-11</v>
      </c>
      <c r="Y46" s="47">
        <f t="shared" ref="Y46:AC47" si="37">IFERROR(IF(T46&gt;0.01,1-EXP(-T46),T46),".")</f>
        <v>4.4401829200634822E-11</v>
      </c>
      <c r="Z46" s="47">
        <f t="shared" si="37"/>
        <v>9.9278555598332383E-12</v>
      </c>
      <c r="AA46" s="47">
        <f t="shared" si="37"/>
        <v>3.0638414828797582E-11</v>
      </c>
      <c r="AB46" s="47">
        <f t="shared" si="37"/>
        <v>4.279561129214709E-11</v>
      </c>
      <c r="AC46" s="47">
        <f t="shared" si="37"/>
        <v>1.698585013149906E-11</v>
      </c>
      <c r="AD46" s="30">
        <f t="shared" si="36"/>
        <v>12.931591878960301</v>
      </c>
      <c r="AE46" s="30">
        <f t="shared" si="36"/>
        <v>19626864.352316026</v>
      </c>
      <c r="AF46" s="30">
        <f t="shared" ref="AF46:AF47" si="38">IFERROR(IF(AND(AD46&lt;&gt;0,AE46&lt;&gt;0),1/((1/AD46)+(1/AE46)),IF(AND(AD46&lt;&gt;0,AE46=0),1/((1/AD46)),IF(AND(AD46=0,AE46&lt;&gt;0),1/((1/AE46)),IF(AND(AD46=0,AE46=0),0)))),0)</f>
        <v>12.931583358701774</v>
      </c>
      <c r="AG46" s="38">
        <f>IFERROR(s_RadSpec!$G$10*AG10,".")*$B$46</f>
        <v>3.8665000000000002E-6</v>
      </c>
      <c r="AH46" s="38">
        <f>IFERROR(s_RadSpec!$J$10*AH10,".")*$B$46</f>
        <v>2.5475286883561649E-12</v>
      </c>
      <c r="AI46" s="47">
        <f>IFERROR(IF(AG46&gt;0.01,1-EXP(-AG46),AG46),".")</f>
        <v>3.8665000000000002E-6</v>
      </c>
      <c r="AJ46" s="47">
        <f>IFERROR(IF(AH46&gt;0.01,1-EXP(-AH46),AH46),".")</f>
        <v>2.5475286883561649E-12</v>
      </c>
      <c r="AK46" s="47">
        <f>IFERROR(IF(SUM(AG46:AH46)&gt;0.01,1-EXP(-SUM(AG46:AH46)),SUM(AG46:AH46)),".")</f>
        <v>3.8665025475286885E-6</v>
      </c>
    </row>
    <row r="47" spans="1:37" x14ac:dyDescent="0.25">
      <c r="A47" s="29" t="s">
        <v>304</v>
      </c>
      <c r="B47" s="32">
        <v>0.94399</v>
      </c>
      <c r="C47" s="2"/>
      <c r="D47" s="30">
        <f>IFERROR(D6/$B$47,0)</f>
        <v>0</v>
      </c>
      <c r="E47" s="30">
        <f>IFERROR(E6/$B$47,0)</f>
        <v>0</v>
      </c>
      <c r="F47" s="30">
        <f>IFERROR(F6/$B$47,0)</f>
        <v>209.2923351232939</v>
      </c>
      <c r="G47" s="30">
        <f t="shared" si="20"/>
        <v>209.29233512329387</v>
      </c>
      <c r="H47" s="38">
        <f>IFERROR(s_RadSpec!$I$6*H6,".")*$B$47</f>
        <v>0</v>
      </c>
      <c r="I47" s="38">
        <f>IFERROR(s_RadSpec!$G$6*I6,".")*$B$47</f>
        <v>0</v>
      </c>
      <c r="J47" s="38">
        <f>IFERROR(s_RadSpec!$F$6*J6,".")*$B$47</f>
        <v>2.3890029212271469E-7</v>
      </c>
      <c r="K47" s="47">
        <f t="shared" si="34"/>
        <v>0</v>
      </c>
      <c r="L47" s="47">
        <f t="shared" si="34"/>
        <v>0</v>
      </c>
      <c r="M47" s="47">
        <f t="shared" si="34"/>
        <v>2.3890029212271469E-7</v>
      </c>
      <c r="N47" s="47">
        <f t="shared" si="35"/>
        <v>2.3890029212271469E-7</v>
      </c>
      <c r="O47" s="30">
        <f t="shared" ref="O47:AE47" si="39">IFERROR(O6/$B$47,0)</f>
        <v>209.2923351232939</v>
      </c>
      <c r="P47" s="30">
        <f t="shared" si="39"/>
        <v>1916.8989683234788</v>
      </c>
      <c r="Q47" s="30">
        <f t="shared" si="39"/>
        <v>480.36009657960705</v>
      </c>
      <c r="R47" s="30">
        <f t="shared" si="39"/>
        <v>256.17124346515573</v>
      </c>
      <c r="S47" s="30">
        <f t="shared" si="39"/>
        <v>3288.6674530949335</v>
      </c>
      <c r="T47" s="38">
        <f>IFERROR(s_RadSpec!$F$6*T6,".")*$B47</f>
        <v>2.3890029212271469E-7</v>
      </c>
      <c r="U47" s="38">
        <f>IFERROR(s_RadSpec!$M$6*U6,".")*$B47</f>
        <v>2.6083795143220326E-8</v>
      </c>
      <c r="V47" s="38">
        <f>IFERROR(s_RadSpec!$N$6*V6,".")*$B47</f>
        <v>1.0408857928879575E-7</v>
      </c>
      <c r="W47" s="38">
        <f>IFERROR(s_RadSpec!$O$6*W6,".")*$B47</f>
        <v>1.9518193893921972E-7</v>
      </c>
      <c r="X47" s="38">
        <f>IFERROR(s_RadSpec!$K$6*X6,".")*$B47</f>
        <v>1.5203726346044961E-8</v>
      </c>
      <c r="Y47" s="47">
        <f t="shared" si="37"/>
        <v>2.3890029212271469E-7</v>
      </c>
      <c r="Z47" s="47">
        <f t="shared" si="37"/>
        <v>2.6083795143220326E-8</v>
      </c>
      <c r="AA47" s="47">
        <f t="shared" si="37"/>
        <v>1.0408857928879575E-7</v>
      </c>
      <c r="AB47" s="47">
        <f t="shared" si="37"/>
        <v>1.9518193893921972E-7</v>
      </c>
      <c r="AC47" s="47">
        <f t="shared" si="37"/>
        <v>1.5203726346044961E-8</v>
      </c>
      <c r="AD47" s="30">
        <f t="shared" si="39"/>
        <v>0</v>
      </c>
      <c r="AE47" s="30">
        <f t="shared" si="39"/>
        <v>13379.644563148266</v>
      </c>
      <c r="AF47" s="30">
        <f t="shared" si="38"/>
        <v>13379.644563148266</v>
      </c>
      <c r="AG47" s="38">
        <f>IFERROR(s_RadSpec!$G$6*AG6,".")*$B$47</f>
        <v>0</v>
      </c>
      <c r="AH47" s="38">
        <f>IFERROR(s_RadSpec!$J$6*AH6,".")*$B$47</f>
        <v>3.7370200504216442E-9</v>
      </c>
      <c r="AI47" s="47">
        <f>IFERROR(IF(AG47&gt;0.01,1-EXP(-AG47),AG47),".")</f>
        <v>0</v>
      </c>
      <c r="AJ47" s="47">
        <f>IFERROR(IF(AH47&gt;0.01,1-EXP(-AH47),AH47),".")</f>
        <v>3.7370200504216442E-9</v>
      </c>
      <c r="AK47" s="47">
        <f>IFERROR(IF(SUM(AG47:AH47)&gt;0.01,1-EXP(-SUM(AG47:AH47)),SUM(AG47:AH47)),".")</f>
        <v>3.7370200504216442E-9</v>
      </c>
    </row>
    <row r="48" spans="1:37" x14ac:dyDescent="0.25">
      <c r="A48" s="26" t="s">
        <v>33</v>
      </c>
      <c r="B48" s="26" t="s">
        <v>289</v>
      </c>
      <c r="C48" s="112"/>
      <c r="D48" s="27">
        <f>1/SUM(1/D49,1/D52,1/D54,1/D58,1/D59,1/D61)</f>
        <v>155.82469539659473</v>
      </c>
      <c r="E48" s="27">
        <f>1/SUM(1/E49,1/E50,1/E51,1/E52,1/E54,1/E58,1/E59,1/E61)</f>
        <v>7629.6119979845798</v>
      </c>
      <c r="F48" s="27">
        <f>1/SUM(1/F49,1/F50,1/F52,1/F54,1/F55,1/F56,1/F57,1/F58,1/F59,1/F60,1/F61,1/F62)</f>
        <v>42.021341668100177</v>
      </c>
      <c r="G48" s="28">
        <f>1/SUM(1/G49,1/G50,1/G51,1/G52,1/G54,1/G55,1/G56,1/G57,1/G58,1/G59,1/G60,1/G61,1/G62)</f>
        <v>32.953307236925973</v>
      </c>
      <c r="H48" s="45"/>
      <c r="I48" s="45"/>
      <c r="J48" s="45"/>
      <c r="K48" s="46">
        <f>IFERROR(IF(SUM(H49:H62)&gt;0.01,1-EXP(-SUM(H49:H62)),SUM(H49:H62)),".")</f>
        <v>3.2087340118165039E-7</v>
      </c>
      <c r="L48" s="46">
        <f>IFERROR(IF(SUM(I49:I62)&gt;0.01,1-EXP(-SUM(I49:I62)),SUM(I49:I62)),".")</f>
        <v>6.5534132028218317E-9</v>
      </c>
      <c r="M48" s="46">
        <f>IFERROR(IF(SUM(J49:J62)&gt;0.01,1-EXP(-SUM(J49:J62)),SUM(J49:J62)),".")</f>
        <v>1.1898715751371812E-6</v>
      </c>
      <c r="N48" s="46">
        <f>IFERROR(IF(SUM(H49:J62)&gt;0.01,1-EXP(-SUM(H49:J62)),SUM(H49:J62)),".")</f>
        <v>1.5172983895216535E-6</v>
      </c>
      <c r="O48" s="27">
        <f t="shared" ref="O48:S48" si="40">1/SUM(1/O49,1/O50,1/O52,1/O54,1/O55,1/O56,1/O57,1/O58,1/O59,1/O60,1/O61,1/O62)</f>
        <v>42.021341668100177</v>
      </c>
      <c r="P48" s="27">
        <f t="shared" si="40"/>
        <v>465.24521648795871</v>
      </c>
      <c r="Q48" s="27">
        <f t="shared" si="40"/>
        <v>114.70844987871399</v>
      </c>
      <c r="R48" s="27">
        <f t="shared" si="40"/>
        <v>59.259741788349615</v>
      </c>
      <c r="S48" s="27">
        <f t="shared" si="40"/>
        <v>853.06265758267216</v>
      </c>
      <c r="T48" s="45"/>
      <c r="U48" s="45"/>
      <c r="V48" s="45"/>
      <c r="W48" s="45"/>
      <c r="X48" s="45"/>
      <c r="Y48" s="46">
        <f>IFERROR(IF(SUM(T49:T62)&gt;0.01,1-EXP(-SUM(T49:T62)),SUM(T49:T62)),".")</f>
        <v>1.1898715751371812E-6</v>
      </c>
      <c r="Z48" s="46">
        <f t="shared" ref="Z48:AC48" si="41">IFERROR(IF(SUM(U49:U62)&gt;0.01,1-EXP(-SUM(U49:U62)),SUM(U49:U62)),".")</f>
        <v>1.0747020759813462E-7</v>
      </c>
      <c r="AA48" s="46">
        <f t="shared" si="41"/>
        <v>4.3588767918027896E-7</v>
      </c>
      <c r="AB48" s="46">
        <f t="shared" si="41"/>
        <v>8.4374312967104325E-7</v>
      </c>
      <c r="AC48" s="46">
        <f t="shared" si="41"/>
        <v>5.861234172608757E-8</v>
      </c>
      <c r="AD48" s="27">
        <f>1/SUM(1/AD49,1/AD50,1/AD51,1/AD52,1/AD54,1/AD58,1/AD59,1/AD61)</f>
        <v>2.4592970622668426E-2</v>
      </c>
      <c r="AE48" s="27">
        <f t="shared" ref="AE48:AF48" si="42">1/SUM(1/AE49,1/AE50,1/AE51,1/AE52,1/AE53,1/AE54,1/AE55,1/AE56,1/AE57,1/AE58,1/AE59,1/AE60,1/AE61,1/AE62)</f>
        <v>4109.2038407422961</v>
      </c>
      <c r="AF48" s="28">
        <f t="shared" si="42"/>
        <v>2.4592823438297003E-2</v>
      </c>
      <c r="AG48" s="45"/>
      <c r="AH48" s="45"/>
      <c r="AI48" s="46">
        <f>IFERROR(IF(SUM(AG49:AG62)&gt;0.01,1-EXP(-SUM(AG49:AG62)),SUM(AG49:AG62)),".")</f>
        <v>2.0331012778876251E-3</v>
      </c>
      <c r="AJ48" s="46">
        <f>IFERROR(IF(SUM(AH49:AH62)&gt;0.01,1-EXP(-SUM(AH49:AH62)),SUM(AH49:AH62)),".")</f>
        <v>1.2167807180616258E-8</v>
      </c>
      <c r="AK48" s="46">
        <f>IFERROR(IF(SUM(AG49:AH62)&gt;0.01,1-EXP(-SUM(AG49:AH62)),SUM(AG49:AH62)),".")</f>
        <v>2.0331134456948053E-3</v>
      </c>
    </row>
    <row r="49" spans="1:37" x14ac:dyDescent="0.25">
      <c r="A49" s="29" t="s">
        <v>305</v>
      </c>
      <c r="B49" s="24">
        <v>1</v>
      </c>
      <c r="C49" s="109"/>
      <c r="D49" s="30">
        <f>IFERROR(D23/$B49,0)</f>
        <v>1234.6746015087724</v>
      </c>
      <c r="E49" s="30">
        <f>IFERROR(E23/$B49,0)</f>
        <v>16026.267160836949</v>
      </c>
      <c r="F49" s="30">
        <f>IFERROR(F23/$B49,0)</f>
        <v>17510.851899855999</v>
      </c>
      <c r="G49" s="30">
        <f t="shared" si="20"/>
        <v>1075.922461615083</v>
      </c>
      <c r="H49" s="38">
        <f>IFERROR(s_RadSpec!$I$23*H23,".")*$B$49</f>
        <v>4.0496499999999995E-8</v>
      </c>
      <c r="I49" s="38">
        <f>IFERROR(s_RadSpec!$G$23*I23,".")*$B$49</f>
        <v>3.1198781037535641E-9</v>
      </c>
      <c r="J49" s="38">
        <f>IFERROR(s_RadSpec!$F$23*J23,".")*$B$49</f>
        <v>2.8553722163803579E-9</v>
      </c>
      <c r="K49" s="47">
        <f t="shared" ref="K49:M62" si="43">IFERROR(IF(H49&gt;0.01,1-EXP(-H49),H49),".")</f>
        <v>4.0496499999999995E-8</v>
      </c>
      <c r="L49" s="47">
        <f t="shared" si="43"/>
        <v>3.1198781037535641E-9</v>
      </c>
      <c r="M49" s="47">
        <f t="shared" si="43"/>
        <v>2.8553722163803579E-9</v>
      </c>
      <c r="N49" s="47">
        <f t="shared" ref="N49:N62" si="44">IFERROR(IF(SUM(H49:J49)&gt;0.01,1-EXP(-SUM(H49:J49)),SUM(H49:J49)),".")</f>
        <v>4.6471750320133919E-8</v>
      </c>
      <c r="O49" s="30">
        <f t="shared" ref="O49:AE49" si="45">IFERROR(O23/$B49,0)</f>
        <v>17510.851899855999</v>
      </c>
      <c r="P49" s="30">
        <f t="shared" si="45"/>
        <v>122977.58488276285</v>
      </c>
      <c r="Q49" s="30">
        <f t="shared" si="45"/>
        <v>31805.402407971869</v>
      </c>
      <c r="R49" s="30">
        <f t="shared" si="45"/>
        <v>18557.019820643254</v>
      </c>
      <c r="S49" s="30">
        <f t="shared" si="45"/>
        <v>196263.55535010042</v>
      </c>
      <c r="T49" s="38">
        <f>IFERROR(s_RadSpec!$F$23*T23,".")*$B$49</f>
        <v>2.8553722163803579E-9</v>
      </c>
      <c r="U49" s="38">
        <f>IFERROR(s_RadSpec!$M$23*U23,".")*$B$49</f>
        <v>4.0657815851291985E-10</v>
      </c>
      <c r="V49" s="38">
        <f>IFERROR(s_RadSpec!$N$23*V23,".")*$B$49</f>
        <v>1.5720599714049759E-9</v>
      </c>
      <c r="W49" s="38">
        <f>IFERROR(s_RadSpec!$O$23*W23,".")*$B$49</f>
        <v>2.694398156776168E-9</v>
      </c>
      <c r="X49" s="38">
        <f>IFERROR(s_RadSpec!$K$23*X23,".")*$B$49</f>
        <v>2.5475947335616449E-10</v>
      </c>
      <c r="Y49" s="47">
        <f t="shared" ref="Y49:AC62" si="46">IFERROR(IF(T49&gt;0.01,1-EXP(-T49),T49),".")</f>
        <v>2.8553722163803579E-9</v>
      </c>
      <c r="Z49" s="47">
        <f t="shared" si="46"/>
        <v>4.0657815851291985E-10</v>
      </c>
      <c r="AA49" s="47">
        <f t="shared" si="46"/>
        <v>1.5720599714049759E-9</v>
      </c>
      <c r="AB49" s="47">
        <f t="shared" si="46"/>
        <v>2.694398156776168E-9</v>
      </c>
      <c r="AC49" s="47">
        <f t="shared" si="46"/>
        <v>2.5475947335616449E-10</v>
      </c>
      <c r="AD49" s="30">
        <f t="shared" si="45"/>
        <v>5.1658395942232996E-2</v>
      </c>
      <c r="AE49" s="30">
        <f t="shared" si="45"/>
        <v>1118087.7643327571</v>
      </c>
      <c r="AF49" s="30">
        <f t="shared" ref="AF49:AF62" si="47">IFERROR(IF(AND(AD49&lt;&gt;0,AE49&lt;&gt;0),1/((1/AD49)+(1/AE49)),IF(AND(AD49&lt;&gt;0,AE49=0),1/((1/AD49)),IF(AND(AD49=0,AE49&lt;&gt;0),1/((1/AE49)),IF(AND(AD49=0,AE49=0),0)))),0)</f>
        <v>5.1658393555488562E-2</v>
      </c>
      <c r="AG49" s="38">
        <f>IFERROR(s_RadSpec!$G$23*AG23,".")*$B$49</f>
        <v>9.6789687499999996E-4</v>
      </c>
      <c r="AH49" s="38">
        <f>IFERROR(s_RadSpec!$J$23*AH23,".")*$B$49</f>
        <v>4.4719208630136992E-11</v>
      </c>
      <c r="AI49" s="47">
        <f t="shared" ref="AI49:AJ62" si="48">IFERROR(IF(AG49&gt;0.01,1-EXP(-AG49),AG49),".")</f>
        <v>9.6789687499999996E-4</v>
      </c>
      <c r="AJ49" s="47">
        <f t="shared" si="48"/>
        <v>4.4719208630136992E-11</v>
      </c>
      <c r="AK49" s="47">
        <f t="shared" ref="AK49:AK62" si="49">IFERROR(IF(SUM(AG49:AH49)&gt;0.01,1-EXP(-SUM(AG49:AH49)),SUM(AG49:AH49)),".")</f>
        <v>9.6789691971920855E-4</v>
      </c>
    </row>
    <row r="50" spans="1:37" x14ac:dyDescent="0.25">
      <c r="A50" s="29" t="s">
        <v>306</v>
      </c>
      <c r="B50" s="24">
        <v>1</v>
      </c>
      <c r="C50" s="109"/>
      <c r="D50" s="30">
        <f>IFERROR(D25/$B50,0)</f>
        <v>0</v>
      </c>
      <c r="E50" s="30">
        <f>IFERROR(E25/$B50,0)</f>
        <v>197917370.37179211</v>
      </c>
      <c r="F50" s="30">
        <f>IFERROR(F25/$B50,0)</f>
        <v>377805.58717240376</v>
      </c>
      <c r="G50" s="30">
        <f t="shared" si="20"/>
        <v>377085.7660218972</v>
      </c>
      <c r="H50" s="38">
        <f>IFERROR(s_RadSpec!$I$25*H25,".")*$B$50</f>
        <v>0</v>
      </c>
      <c r="I50" s="38">
        <f>IFERROR(s_RadSpec!$G$25*I25,".")*$B$50</f>
        <v>2.5263068070313339E-13</v>
      </c>
      <c r="J50" s="38">
        <f>IFERROR(s_RadSpec!$F$25*J25,".")*$B$50</f>
        <v>1.3234319898287671E-10</v>
      </c>
      <c r="K50" s="47">
        <f t="shared" si="43"/>
        <v>0</v>
      </c>
      <c r="L50" s="47">
        <f t="shared" si="43"/>
        <v>2.5263068070313339E-13</v>
      </c>
      <c r="M50" s="47">
        <f t="shared" si="43"/>
        <v>1.3234319898287671E-10</v>
      </c>
      <c r="N50" s="47">
        <f t="shared" si="44"/>
        <v>1.3259582966357985E-10</v>
      </c>
      <c r="O50" s="30">
        <f t="shared" ref="O50:AE50" si="50">IFERROR(O25/$B50,0)</f>
        <v>377805.58717240376</v>
      </c>
      <c r="P50" s="30">
        <f t="shared" si="50"/>
        <v>3210171.9255572008</v>
      </c>
      <c r="Q50" s="30">
        <f t="shared" si="50"/>
        <v>815975.29065042082</v>
      </c>
      <c r="R50" s="30">
        <f t="shared" si="50"/>
        <v>476048.32445548102</v>
      </c>
      <c r="S50" s="30">
        <f t="shared" si="50"/>
        <v>5862921.4665968232</v>
      </c>
      <c r="T50" s="38">
        <f>IFERROR(s_RadSpec!$F$25*T25,".")*$B$50</f>
        <v>1.3234319898287671E-10</v>
      </c>
      <c r="U50" s="38">
        <f>IFERROR(s_RadSpec!$M$25*U25,".")*$B$50</f>
        <v>1.5575489774218664E-11</v>
      </c>
      <c r="V50" s="38">
        <f>IFERROR(s_RadSpec!$N$25*V25,".")*$B$50</f>
        <v>6.1276365317563228E-11</v>
      </c>
      <c r="W50" s="38">
        <f>IFERROR(s_RadSpec!$O$25*W25,".")*$B$50</f>
        <v>1.0503135381726545E-10</v>
      </c>
      <c r="X50" s="38">
        <f>IFERROR(s_RadSpec!$K$25*X25,".")*$B$50</f>
        <v>8.5281715412474853E-12</v>
      </c>
      <c r="Y50" s="47">
        <f t="shared" si="46"/>
        <v>1.3234319898287671E-10</v>
      </c>
      <c r="Z50" s="47">
        <f t="shared" si="46"/>
        <v>1.5575489774218664E-11</v>
      </c>
      <c r="AA50" s="47">
        <f t="shared" si="46"/>
        <v>6.1276365317563228E-11</v>
      </c>
      <c r="AB50" s="47">
        <f t="shared" si="46"/>
        <v>1.0503135381726545E-10</v>
      </c>
      <c r="AC50" s="47">
        <f t="shared" si="46"/>
        <v>8.5281715412474853E-12</v>
      </c>
      <c r="AD50" s="30">
        <f t="shared" si="50"/>
        <v>637.95853269537486</v>
      </c>
      <c r="AE50" s="30">
        <f t="shared" si="50"/>
        <v>19626864.352316026</v>
      </c>
      <c r="AF50" s="30">
        <f t="shared" si="47"/>
        <v>637.93779693985209</v>
      </c>
      <c r="AG50" s="38">
        <f>IFERROR(s_RadSpec!$G$25*AG$25,".")*$B$50</f>
        <v>7.8374999999999999E-8</v>
      </c>
      <c r="AH50" s="38">
        <f>IFERROR(s_RadSpec!$J$25*AH25,".")*$B$50</f>
        <v>2.5475286883561649E-12</v>
      </c>
      <c r="AI50" s="47">
        <f t="shared" si="48"/>
        <v>7.8374999999999999E-8</v>
      </c>
      <c r="AJ50" s="47">
        <f t="shared" si="48"/>
        <v>2.5475286883561649E-12</v>
      </c>
      <c r="AK50" s="47">
        <f t="shared" si="49"/>
        <v>7.8377547528688359E-8</v>
      </c>
    </row>
    <row r="51" spans="1:37" x14ac:dyDescent="0.25">
      <c r="A51" s="29" t="s">
        <v>307</v>
      </c>
      <c r="B51" s="24">
        <v>1</v>
      </c>
      <c r="C51" s="109"/>
      <c r="D51" s="30">
        <f>IFERROR(D21/$B51,0)</f>
        <v>0</v>
      </c>
      <c r="E51" s="30">
        <f>IFERROR(E21/$B51,0)</f>
        <v>32464144.20486949</v>
      </c>
      <c r="F51" s="30">
        <f>IFERROR(F21/$B51,0)</f>
        <v>0</v>
      </c>
      <c r="G51" s="30">
        <f t="shared" si="20"/>
        <v>32464144.204869494</v>
      </c>
      <c r="H51" s="38">
        <f>IFERROR(s_RadSpec!$I$21*H21,".")*$B$51</f>
        <v>0</v>
      </c>
      <c r="I51" s="38">
        <f>IFERROR(s_RadSpec!$G$21*I21,".")*$B$51</f>
        <v>1.5401607288480501E-12</v>
      </c>
      <c r="J51" s="38">
        <f>IFERROR(s_RadSpec!$F$21*J21,".")*$B$51</f>
        <v>0</v>
      </c>
      <c r="K51" s="47">
        <f t="shared" si="43"/>
        <v>0</v>
      </c>
      <c r="L51" s="47">
        <f t="shared" si="43"/>
        <v>1.5401607288480501E-12</v>
      </c>
      <c r="M51" s="47">
        <f t="shared" si="43"/>
        <v>0</v>
      </c>
      <c r="N51" s="47">
        <f t="shared" si="44"/>
        <v>1.5401607288480501E-12</v>
      </c>
      <c r="O51" s="30">
        <f t="shared" ref="O51:AE51" si="51">IFERROR(O21/$B51,0)</f>
        <v>0</v>
      </c>
      <c r="P51" s="30">
        <f t="shared" si="51"/>
        <v>0</v>
      </c>
      <c r="Q51" s="30">
        <f t="shared" si="51"/>
        <v>0</v>
      </c>
      <c r="R51" s="30">
        <f t="shared" si="51"/>
        <v>0</v>
      </c>
      <c r="S51" s="30">
        <f t="shared" si="51"/>
        <v>0</v>
      </c>
      <c r="T51" s="38">
        <f>IFERROR(s_RadSpec!$F$21*T21,".")*$B$51</f>
        <v>0</v>
      </c>
      <c r="U51" s="38">
        <f>IFERROR(s_RadSpec!$M$21*U21,".")*$B$51</f>
        <v>0</v>
      </c>
      <c r="V51" s="38">
        <f>IFERROR(s_RadSpec!$N$21*V21,".")*$B$51</f>
        <v>0</v>
      </c>
      <c r="W51" s="38">
        <f>IFERROR(s_RadSpec!$O$21*W21,".")*$B$51</f>
        <v>0</v>
      </c>
      <c r="X51" s="38">
        <f>IFERROR(s_RadSpec!$K$21*X21,".")*$B$51</f>
        <v>0</v>
      </c>
      <c r="Y51" s="47">
        <f t="shared" si="46"/>
        <v>0</v>
      </c>
      <c r="Z51" s="47">
        <f t="shared" si="46"/>
        <v>0</v>
      </c>
      <c r="AA51" s="47">
        <f t="shared" si="46"/>
        <v>0</v>
      </c>
      <c r="AB51" s="47">
        <f t="shared" si="46"/>
        <v>0</v>
      </c>
      <c r="AC51" s="47">
        <f t="shared" si="46"/>
        <v>0</v>
      </c>
      <c r="AD51" s="30">
        <f t="shared" si="51"/>
        <v>104.64355788096796</v>
      </c>
      <c r="AE51" s="30">
        <f t="shared" si="51"/>
        <v>807140279577.49329</v>
      </c>
      <c r="AF51" s="30">
        <f t="shared" si="47"/>
        <v>104.64355786740121</v>
      </c>
      <c r="AG51" s="38">
        <f>IFERROR(s_RadSpec!$G$21*AG21,".")*$B$51</f>
        <v>4.7781250000000003E-7</v>
      </c>
      <c r="AH51" s="38">
        <f>IFERROR(s_RadSpec!$J$21*AH21,".")*$B$51</f>
        <v>6.1947100479452062E-17</v>
      </c>
      <c r="AI51" s="47">
        <f t="shared" si="48"/>
        <v>4.7781250000000003E-7</v>
      </c>
      <c r="AJ51" s="47">
        <f t="shared" si="48"/>
        <v>6.1947100479452062E-17</v>
      </c>
      <c r="AK51" s="47">
        <f t="shared" si="49"/>
        <v>4.7781250006194715E-7</v>
      </c>
    </row>
    <row r="52" spans="1:37" x14ac:dyDescent="0.25">
      <c r="A52" s="29" t="s">
        <v>308</v>
      </c>
      <c r="B52" s="32">
        <v>0.99980000000000002</v>
      </c>
      <c r="C52" s="109"/>
      <c r="D52" s="30">
        <f>IFERROR(D17/$B52,0)</f>
        <v>1649324.8025460506</v>
      </c>
      <c r="E52" s="30">
        <f>IFERROR(E17/$B52,0)</f>
        <v>5808775.7119980734</v>
      </c>
      <c r="F52" s="30">
        <f>IFERROR(F17/$B52,0)</f>
        <v>884.89397454709444</v>
      </c>
      <c r="G52" s="30">
        <f t="shared" si="20"/>
        <v>884.28482931867552</v>
      </c>
      <c r="H52" s="38">
        <f>IFERROR(s_RadSpec!$I$17*H17,".")*$B$52</f>
        <v>3.0315435699999997E-11</v>
      </c>
      <c r="I52" s="38">
        <f>IFERROR(s_RadSpec!$G$17*I17,".")*$B$52</f>
        <v>8.6076657937962001E-12</v>
      </c>
      <c r="J52" s="38">
        <f>IFERROR(s_RadSpec!$F$17*J17,".")*$B$52</f>
        <v>5.6503944470399366E-8</v>
      </c>
      <c r="K52" s="47">
        <f t="shared" si="43"/>
        <v>3.0315435699999997E-11</v>
      </c>
      <c r="L52" s="47">
        <f t="shared" si="43"/>
        <v>8.6076657937962001E-12</v>
      </c>
      <c r="M52" s="47">
        <f t="shared" si="43"/>
        <v>5.6503944470399366E-8</v>
      </c>
      <c r="N52" s="47">
        <f t="shared" si="44"/>
        <v>5.654286757189316E-8</v>
      </c>
      <c r="O52" s="30">
        <f t="shared" ref="O52:AE52" si="52">IFERROR(O17/$B52,0)</f>
        <v>884.89397454709444</v>
      </c>
      <c r="P52" s="30">
        <f t="shared" si="52"/>
        <v>6798.0538577332363</v>
      </c>
      <c r="Q52" s="30">
        <f t="shared" si="52"/>
        <v>1838.967281512347</v>
      </c>
      <c r="R52" s="30">
        <f t="shared" si="52"/>
        <v>1106.3190490357188</v>
      </c>
      <c r="S52" s="30">
        <f t="shared" si="52"/>
        <v>13203.31367423912</v>
      </c>
      <c r="T52" s="38">
        <f>IFERROR(s_RadSpec!$F$17*T17,".")*$B$52</f>
        <v>5.6503944470399366E-8</v>
      </c>
      <c r="U52" s="38">
        <f>IFERROR(s_RadSpec!$M$17*U17,".")*$B$52</f>
        <v>7.3550461715041732E-9</v>
      </c>
      <c r="V52" s="38">
        <f>IFERROR(s_RadSpec!$N$17*V17,".")*$B$52</f>
        <v>2.7189173240146257E-8</v>
      </c>
      <c r="W52" s="38">
        <f>IFERROR(s_RadSpec!$O$17*W17,".")*$B$52</f>
        <v>4.5194919172349618E-8</v>
      </c>
      <c r="X52" s="38">
        <f>IFERROR(s_RadSpec!$K$17*X17,".")*$B$52</f>
        <v>3.7869281328636919E-9</v>
      </c>
      <c r="Y52" s="47">
        <f t="shared" si="46"/>
        <v>5.6503944470399366E-8</v>
      </c>
      <c r="Z52" s="47">
        <f t="shared" si="46"/>
        <v>7.3550461715041732E-9</v>
      </c>
      <c r="AA52" s="47">
        <f t="shared" si="46"/>
        <v>2.7189173240146257E-8</v>
      </c>
      <c r="AB52" s="47">
        <f t="shared" si="46"/>
        <v>4.5194919172349618E-8</v>
      </c>
      <c r="AC52" s="47">
        <f t="shared" si="46"/>
        <v>3.7869281328636919E-9</v>
      </c>
      <c r="AD52" s="30">
        <f t="shared" si="52"/>
        <v>18.723763472713259</v>
      </c>
      <c r="AE52" s="30">
        <f t="shared" si="52"/>
        <v>31256.35602460615</v>
      </c>
      <c r="AF52" s="30">
        <f t="shared" si="47"/>
        <v>18.712553930772593</v>
      </c>
      <c r="AG52" s="38">
        <f>IFERROR(s_RadSpec!$G$17*AG17,".")*$B$52</f>
        <v>2.6704033125000002E-6</v>
      </c>
      <c r="AH52" s="38">
        <f>IFERROR(s_RadSpec!$J$17*AH17,".")*$B$52</f>
        <v>1.599674637716507E-9</v>
      </c>
      <c r="AI52" s="47">
        <f t="shared" si="48"/>
        <v>2.6704033125000002E-6</v>
      </c>
      <c r="AJ52" s="47">
        <f t="shared" si="48"/>
        <v>1.599674637716507E-9</v>
      </c>
      <c r="AK52" s="47">
        <f t="shared" si="49"/>
        <v>2.6720029871377169E-6</v>
      </c>
    </row>
    <row r="53" spans="1:37" x14ac:dyDescent="0.25">
      <c r="A53" s="29" t="s">
        <v>309</v>
      </c>
      <c r="B53" s="24">
        <v>2.0000000000000001E-4</v>
      </c>
      <c r="C53" s="109"/>
      <c r="D53" s="30">
        <f>IFERROR(D5/$B53,0)</f>
        <v>0</v>
      </c>
      <c r="E53" s="30">
        <f>IFERROR(E5/$B53,0)</f>
        <v>0</v>
      </c>
      <c r="F53" s="30">
        <f>IFERROR(F5/$B53,0)</f>
        <v>0</v>
      </c>
      <c r="G53" s="30">
        <f t="shared" si="20"/>
        <v>0</v>
      </c>
      <c r="H53" s="38">
        <f>IFERROR(s_RadSpec!$I$5*H5,".")*$B$53</f>
        <v>0</v>
      </c>
      <c r="I53" s="38">
        <f>IFERROR(s_RadSpec!$G$5*I5,".")*$B$53</f>
        <v>0</v>
      </c>
      <c r="J53" s="38">
        <f>IFERROR(s_RadSpec!$F$5*J5,".")*$B$53</f>
        <v>0</v>
      </c>
      <c r="K53" s="47">
        <f t="shared" si="43"/>
        <v>0</v>
      </c>
      <c r="L53" s="47">
        <f t="shared" si="43"/>
        <v>0</v>
      </c>
      <c r="M53" s="47">
        <f t="shared" si="43"/>
        <v>0</v>
      </c>
      <c r="N53" s="47">
        <f t="shared" si="44"/>
        <v>0</v>
      </c>
      <c r="O53" s="30">
        <f t="shared" ref="O53:AE53" si="53">IFERROR(O5/$B53,0)</f>
        <v>0</v>
      </c>
      <c r="P53" s="30">
        <f t="shared" si="53"/>
        <v>0</v>
      </c>
      <c r="Q53" s="30">
        <f t="shared" si="53"/>
        <v>0</v>
      </c>
      <c r="R53" s="30">
        <f t="shared" si="53"/>
        <v>0</v>
      </c>
      <c r="S53" s="30">
        <f t="shared" si="53"/>
        <v>0</v>
      </c>
      <c r="T53" s="38">
        <f>IFERROR(s_RadSpec!$F$5*T5,".")*$B$53</f>
        <v>0</v>
      </c>
      <c r="U53" s="38">
        <f>IFERROR(s_RadSpec!$M$5*U5,".")*$B$53</f>
        <v>0</v>
      </c>
      <c r="V53" s="38">
        <f>IFERROR(s_RadSpec!$N$5*V5,".")*$B$53</f>
        <v>0</v>
      </c>
      <c r="W53" s="38">
        <f>IFERROR(s_RadSpec!$O$5*W5,".")*$B$53</f>
        <v>0</v>
      </c>
      <c r="X53" s="38">
        <f>IFERROR(s_RadSpec!$K$5*X5,".")*$B$53</f>
        <v>0</v>
      </c>
      <c r="Y53" s="47">
        <f t="shared" si="46"/>
        <v>0</v>
      </c>
      <c r="Z53" s="47">
        <f t="shared" si="46"/>
        <v>0</v>
      </c>
      <c r="AA53" s="47">
        <f t="shared" si="46"/>
        <v>0</v>
      </c>
      <c r="AB53" s="47">
        <f t="shared" si="46"/>
        <v>0</v>
      </c>
      <c r="AC53" s="47">
        <f t="shared" si="46"/>
        <v>0</v>
      </c>
      <c r="AD53" s="30">
        <f t="shared" si="53"/>
        <v>0</v>
      </c>
      <c r="AE53" s="30">
        <f t="shared" si="53"/>
        <v>5166920729113.499</v>
      </c>
      <c r="AF53" s="30">
        <f t="shared" si="47"/>
        <v>5166920729113.499</v>
      </c>
      <c r="AG53" s="38">
        <f>IFERROR(s_RadSpec!$G$5*AG5,".")*$B$53</f>
        <v>0</v>
      </c>
      <c r="AH53" s="38">
        <f>IFERROR(s_RadSpec!$J$5*AH5,".")*$B$53</f>
        <v>9.6769435068493164E-18</v>
      </c>
      <c r="AI53" s="47">
        <f t="shared" si="48"/>
        <v>0</v>
      </c>
      <c r="AJ53" s="47">
        <f t="shared" si="48"/>
        <v>9.6769435068493164E-18</v>
      </c>
      <c r="AK53" s="47">
        <f t="shared" si="49"/>
        <v>9.6769435068493164E-18</v>
      </c>
    </row>
    <row r="54" spans="1:37" x14ac:dyDescent="0.25">
      <c r="A54" s="29" t="s">
        <v>310</v>
      </c>
      <c r="B54" s="24">
        <v>0.99999979999999999</v>
      </c>
      <c r="C54" s="109"/>
      <c r="D54" s="30">
        <f>IFERROR(D9/$B54,0)</f>
        <v>2469349.6968874843</v>
      </c>
      <c r="E54" s="30">
        <f>IFERROR(E9/$B54,0)</f>
        <v>7301807.3575732186</v>
      </c>
      <c r="F54" s="30">
        <f>IFERROR(F9/$B54,0)</f>
        <v>44.255122316576696</v>
      </c>
      <c r="G54" s="30">
        <f t="shared" si="20"/>
        <v>44.254060988382037</v>
      </c>
      <c r="H54" s="38">
        <f>IFERROR(s_RadSpec!$I$9*H9,".")*$B$54</f>
        <v>2.0248245950349999E-11</v>
      </c>
      <c r="I54" s="38">
        <f>IFERROR(s_RadSpec!$G$9*I9,".")*$B$54</f>
        <v>6.8476197126922933E-12</v>
      </c>
      <c r="J54" s="38">
        <f>IFERROR(s_RadSpec!$F$9*J9,".")*$B$54</f>
        <v>1.1298127173240566E-6</v>
      </c>
      <c r="K54" s="47">
        <f t="shared" si="43"/>
        <v>2.0248245950349999E-11</v>
      </c>
      <c r="L54" s="47">
        <f t="shared" si="43"/>
        <v>6.8476197126922933E-12</v>
      </c>
      <c r="M54" s="47">
        <f t="shared" si="43"/>
        <v>1.1298127173240566E-6</v>
      </c>
      <c r="N54" s="47">
        <f t="shared" si="44"/>
        <v>1.1298398131897196E-6</v>
      </c>
      <c r="O54" s="30">
        <f t="shared" ref="O54:AE54" si="54">IFERROR(O9/$B54,0)</f>
        <v>44.255122316576696</v>
      </c>
      <c r="P54" s="30">
        <f t="shared" si="54"/>
        <v>501.88162256216765</v>
      </c>
      <c r="Q54" s="30">
        <f t="shared" si="54"/>
        <v>122.90438665006087</v>
      </c>
      <c r="R54" s="30">
        <f t="shared" si="54"/>
        <v>62.867489125449133</v>
      </c>
      <c r="S54" s="30">
        <f t="shared" si="54"/>
        <v>918.06627199311799</v>
      </c>
      <c r="T54" s="38">
        <f>IFERROR(s_RadSpec!$F$9*T9,".")*$B$54</f>
        <v>1.1298127173240566E-6</v>
      </c>
      <c r="U54" s="38">
        <f>IFERROR(s_RadSpec!$M$9*U9,".")*$B$54</f>
        <v>9.9625086379421171E-8</v>
      </c>
      <c r="V54" s="38">
        <f>IFERROR(s_RadSpec!$N$9*V9,".")*$B$54</f>
        <v>4.0682030448890607E-7</v>
      </c>
      <c r="W54" s="38">
        <f>IFERROR(s_RadSpec!$O$9*W9,".")*$B$54</f>
        <v>7.9532363540441938E-7</v>
      </c>
      <c r="X54" s="38">
        <f>IFERROR(s_RadSpec!$K$9*X9,".")*$B$54</f>
        <v>5.446229921011064E-8</v>
      </c>
      <c r="Y54" s="47">
        <f t="shared" si="46"/>
        <v>1.1298127173240566E-6</v>
      </c>
      <c r="Z54" s="47">
        <f t="shared" si="46"/>
        <v>9.9625086379421171E-8</v>
      </c>
      <c r="AA54" s="47">
        <f t="shared" si="46"/>
        <v>4.0682030448890607E-7</v>
      </c>
      <c r="AB54" s="47">
        <f t="shared" si="46"/>
        <v>7.9532363540441938E-7</v>
      </c>
      <c r="AC54" s="47">
        <f t="shared" si="46"/>
        <v>5.446229921011064E-8</v>
      </c>
      <c r="AD54" s="30">
        <f t="shared" si="54"/>
        <v>23.536338923213652</v>
      </c>
      <c r="AE54" s="30">
        <f t="shared" si="54"/>
        <v>4761.142566490169</v>
      </c>
      <c r="AF54" s="30">
        <f t="shared" si="47"/>
        <v>23.420561195834367</v>
      </c>
      <c r="AG54" s="38">
        <f>IFERROR(s_RadSpec!$G$9*AG9,".")*$B$54</f>
        <v>2.1243745751249998E-6</v>
      </c>
      <c r="AH54" s="38">
        <f>IFERROR(s_RadSpec!$J$9*AH9,".")*$B$54</f>
        <v>1.050168090993737E-8</v>
      </c>
      <c r="AI54" s="47">
        <f t="shared" si="48"/>
        <v>2.1243745751249998E-6</v>
      </c>
      <c r="AJ54" s="47">
        <f t="shared" si="48"/>
        <v>1.050168090993737E-8</v>
      </c>
      <c r="AK54" s="47">
        <f t="shared" si="49"/>
        <v>2.1348762560349371E-6</v>
      </c>
    </row>
    <row r="55" spans="1:37" x14ac:dyDescent="0.25">
      <c r="A55" s="29" t="s">
        <v>311</v>
      </c>
      <c r="B55" s="24">
        <v>1.9999999999999999E-7</v>
      </c>
      <c r="C55" s="109"/>
      <c r="D55" s="30">
        <f>IFERROR(D24/$B55,0)</f>
        <v>0</v>
      </c>
      <c r="E55" s="30">
        <f>IFERROR(E24/$B55,0)</f>
        <v>0</v>
      </c>
      <c r="F55" s="30">
        <f>IFERROR(F24/$B55,0)</f>
        <v>846972719794.2428</v>
      </c>
      <c r="G55" s="30">
        <f t="shared" si="20"/>
        <v>846972719794.2428</v>
      </c>
      <c r="H55" s="38">
        <f>IFERROR(s_RadSpec!$I$24*H24,".")*$B$55</f>
        <v>0</v>
      </c>
      <c r="I55" s="38">
        <f>IFERROR(s_RadSpec!$G$24*I24,".")*$B$55</f>
        <v>0</v>
      </c>
      <c r="J55" s="38">
        <f>IFERROR(s_RadSpec!$F$24*J24,".")*$B$55</f>
        <v>5.9033778575709779E-17</v>
      </c>
      <c r="K55" s="47">
        <f t="shared" si="43"/>
        <v>0</v>
      </c>
      <c r="L55" s="47">
        <f t="shared" si="43"/>
        <v>0</v>
      </c>
      <c r="M55" s="47">
        <f t="shared" si="43"/>
        <v>5.9033778575709779E-17</v>
      </c>
      <c r="N55" s="47">
        <f t="shared" si="44"/>
        <v>5.9033778575709779E-17</v>
      </c>
      <c r="O55" s="30">
        <f t="shared" ref="O55:AE55" si="55">IFERROR(O24/$B55,0)</f>
        <v>846972719794.2428</v>
      </c>
      <c r="P55" s="30">
        <f t="shared" si="55"/>
        <v>7461737971733.1943</v>
      </c>
      <c r="Q55" s="30">
        <f t="shared" si="55"/>
        <v>1871560953000.3779</v>
      </c>
      <c r="R55" s="30">
        <f t="shared" si="55"/>
        <v>1009857525649.389</v>
      </c>
      <c r="S55" s="30">
        <f t="shared" si="55"/>
        <v>12695005316192.193</v>
      </c>
      <c r="T55" s="38">
        <f>IFERROR(s_RadSpec!$F$24*T24,".")*$B$55</f>
        <v>5.9033778575709779E-17</v>
      </c>
      <c r="U55" s="38">
        <f>IFERROR(s_RadSpec!$M$24*U24,".")*$B$55</f>
        <v>6.7008517572463264E-18</v>
      </c>
      <c r="V55" s="38">
        <f>IFERROR(s_RadSpec!$N$24*V24,".")*$B$55</f>
        <v>2.6715667432494199E-17</v>
      </c>
      <c r="W55" s="38">
        <f>IFERROR(s_RadSpec!$O$24*W24,".")*$B$55</f>
        <v>4.9511934832438369E-17</v>
      </c>
      <c r="X55" s="38">
        <f>IFERROR(s_RadSpec!$K$24*X24,".")*$B$55</f>
        <v>3.9385568382729343E-18</v>
      </c>
      <c r="Y55" s="47">
        <f t="shared" si="46"/>
        <v>5.9033778575709779E-17</v>
      </c>
      <c r="Z55" s="47">
        <f t="shared" si="46"/>
        <v>6.7008517572463264E-18</v>
      </c>
      <c r="AA55" s="47">
        <f t="shared" si="46"/>
        <v>2.6715667432494199E-17</v>
      </c>
      <c r="AB55" s="47">
        <f t="shared" si="46"/>
        <v>4.9511934832438369E-17</v>
      </c>
      <c r="AC55" s="47">
        <f t="shared" si="46"/>
        <v>3.9385568382729343E-18</v>
      </c>
      <c r="AD55" s="30">
        <f t="shared" si="55"/>
        <v>0</v>
      </c>
      <c r="AE55" s="30">
        <f t="shared" si="55"/>
        <v>49965826830987.688</v>
      </c>
      <c r="AF55" s="30">
        <f t="shared" si="47"/>
        <v>49965826830987.695</v>
      </c>
      <c r="AG55" s="38">
        <f>IFERROR(s_RadSpec!$G$24*AG24,".")*$B$55</f>
        <v>0</v>
      </c>
      <c r="AH55" s="38">
        <f>IFERROR(s_RadSpec!$J$24*AH24,".")*$B$55</f>
        <v>1.0006839308219179E-18</v>
      </c>
      <c r="AI55" s="47">
        <f t="shared" si="48"/>
        <v>0</v>
      </c>
      <c r="AJ55" s="47">
        <f t="shared" si="48"/>
        <v>1.0006839308219179E-18</v>
      </c>
      <c r="AK55" s="47">
        <f t="shared" si="49"/>
        <v>1.0006839308219179E-18</v>
      </c>
    </row>
    <row r="56" spans="1:37" x14ac:dyDescent="0.25">
      <c r="A56" s="29" t="s">
        <v>312</v>
      </c>
      <c r="B56" s="24">
        <v>0.99979000004200003</v>
      </c>
      <c r="C56" s="109"/>
      <c r="D56" s="30">
        <f>IFERROR(D20/$B56,0)</f>
        <v>0</v>
      </c>
      <c r="E56" s="30">
        <f>IFERROR(E20/$B56,0)</f>
        <v>0</v>
      </c>
      <c r="F56" s="30">
        <f>IFERROR(F20/$B56,0)</f>
        <v>1166145.0025830334</v>
      </c>
      <c r="G56" s="30">
        <f t="shared" si="20"/>
        <v>1166145.0025830334</v>
      </c>
      <c r="H56" s="38">
        <f>IFERROR(s_RadSpec!$I$20*H20,".")*$B$56</f>
        <v>0</v>
      </c>
      <c r="I56" s="38">
        <f>IFERROR(s_RadSpec!$G$20*I20,".")*$B$56</f>
        <v>0</v>
      </c>
      <c r="J56" s="38">
        <f>IFERROR(s_RadSpec!$F$20*J20,".")*$B$56</f>
        <v>4.2876314600027481E-11</v>
      </c>
      <c r="K56" s="47">
        <f t="shared" si="43"/>
        <v>0</v>
      </c>
      <c r="L56" s="47">
        <f t="shared" si="43"/>
        <v>0</v>
      </c>
      <c r="M56" s="47">
        <f t="shared" si="43"/>
        <v>4.2876314600027481E-11</v>
      </c>
      <c r="N56" s="47">
        <f t="shared" si="44"/>
        <v>4.2876314600027481E-11</v>
      </c>
      <c r="O56" s="30">
        <f t="shared" ref="O56:AE56" si="56">IFERROR(O20/$B56,0)</f>
        <v>1166145.0025830334</v>
      </c>
      <c r="P56" s="30">
        <f t="shared" si="56"/>
        <v>11625566.311608367</v>
      </c>
      <c r="Q56" s="30">
        <f t="shared" si="56"/>
        <v>2885860.9767667647</v>
      </c>
      <c r="R56" s="30">
        <f t="shared" si="56"/>
        <v>1542793.0283396253</v>
      </c>
      <c r="S56" s="30">
        <f t="shared" si="56"/>
        <v>20332790.375113957</v>
      </c>
      <c r="T56" s="38">
        <f>IFERROR(s_RadSpec!$F$20*T20,".")*$B$56</f>
        <v>4.2876314600027481E-11</v>
      </c>
      <c r="U56" s="38">
        <f>IFERROR(s_RadSpec!$M$20*U20,".")*$B$56</f>
        <v>4.3008657522407301E-12</v>
      </c>
      <c r="V56" s="38">
        <f>IFERROR(s_RadSpec!$N$20*V20,".")*$B$56</f>
        <v>1.7325851939000396E-11</v>
      </c>
      <c r="W56" s="38">
        <f>IFERROR(s_RadSpec!$O$20*W20,".")*$B$56</f>
        <v>3.2408754176061244E-11</v>
      </c>
      <c r="X56" s="38">
        <f>IFERROR(s_RadSpec!$K$20*X20,".")*$B$56</f>
        <v>2.4590820579745333E-12</v>
      </c>
      <c r="Y56" s="47">
        <f t="shared" si="46"/>
        <v>4.2876314600027481E-11</v>
      </c>
      <c r="Z56" s="47">
        <f t="shared" si="46"/>
        <v>4.3008657522407301E-12</v>
      </c>
      <c r="AA56" s="47">
        <f t="shared" si="46"/>
        <v>1.7325851939000396E-11</v>
      </c>
      <c r="AB56" s="47">
        <f t="shared" si="46"/>
        <v>3.2408754176061244E-11</v>
      </c>
      <c r="AC56" s="47">
        <f t="shared" si="46"/>
        <v>2.4590820579745333E-12</v>
      </c>
      <c r="AD56" s="30">
        <f t="shared" si="56"/>
        <v>0</v>
      </c>
      <c r="AE56" s="30">
        <f t="shared" si="56"/>
        <v>89173437.038030326</v>
      </c>
      <c r="AF56" s="30">
        <f t="shared" si="47"/>
        <v>89173437.038030326</v>
      </c>
      <c r="AG56" s="38">
        <f>IFERROR(s_RadSpec!$G$20*AG20,".")*$B$56</f>
        <v>0</v>
      </c>
      <c r="AH56" s="38">
        <f>IFERROR(s_RadSpec!$J$20*AH20,".")*$B$56</f>
        <v>5.6070508955123276E-13</v>
      </c>
      <c r="AI56" s="47">
        <f t="shared" si="48"/>
        <v>0</v>
      </c>
      <c r="AJ56" s="47">
        <f t="shared" si="48"/>
        <v>5.6070508955123276E-13</v>
      </c>
      <c r="AK56" s="47">
        <f t="shared" si="49"/>
        <v>5.6070508955123276E-13</v>
      </c>
    </row>
    <row r="57" spans="1:37" x14ac:dyDescent="0.25">
      <c r="A57" s="29" t="s">
        <v>313</v>
      </c>
      <c r="B57" s="24">
        <v>2.0999995799999999E-4</v>
      </c>
      <c r="C57" s="109"/>
      <c r="D57" s="30">
        <f>IFERROR(D29/$B57,0)</f>
        <v>0</v>
      </c>
      <c r="E57" s="30">
        <f>IFERROR(E29/$B57,0)</f>
        <v>0</v>
      </c>
      <c r="F57" s="30">
        <f>IFERROR(F29/$B57,0)</f>
        <v>125389.43964246569</v>
      </c>
      <c r="G57" s="30">
        <f t="shared" si="20"/>
        <v>125389.43964246569</v>
      </c>
      <c r="H57" s="38">
        <f>IFERROR(s_RadSpec!$I$29*H29,".")*$B$57</f>
        <v>0</v>
      </c>
      <c r="I57" s="38">
        <f>IFERROR(s_RadSpec!$G$29*I29,".")*$B$57</f>
        <v>0</v>
      </c>
      <c r="J57" s="38">
        <f>IFERROR(s_RadSpec!$F$29*J29,".")*$B$57</f>
        <v>3.9875766366425729E-10</v>
      </c>
      <c r="K57" s="47">
        <f t="shared" si="43"/>
        <v>0</v>
      </c>
      <c r="L57" s="47">
        <f t="shared" si="43"/>
        <v>0</v>
      </c>
      <c r="M57" s="47">
        <f t="shared" si="43"/>
        <v>3.9875766366425729E-10</v>
      </c>
      <c r="N57" s="47">
        <f t="shared" si="44"/>
        <v>3.9875766366425729E-10</v>
      </c>
      <c r="O57" s="30">
        <f t="shared" ref="O57:AE57" si="57">IFERROR(O29/$B57,0)</f>
        <v>125389.43964246569</v>
      </c>
      <c r="P57" s="30">
        <f t="shared" si="57"/>
        <v>1352170.3879376804</v>
      </c>
      <c r="Q57" s="30">
        <f t="shared" si="57"/>
        <v>336263.24845264456</v>
      </c>
      <c r="R57" s="30">
        <f t="shared" si="57"/>
        <v>178706.17898053388</v>
      </c>
      <c r="S57" s="30">
        <f t="shared" si="57"/>
        <v>2508214.4478144916</v>
      </c>
      <c r="T57" s="38">
        <f>IFERROR(s_RadSpec!$F$29*T29,".")*$B$57</f>
        <v>3.9875766366425729E-10</v>
      </c>
      <c r="U57" s="38">
        <f>IFERROR(s_RadSpec!$M$29*U29,".")*$B$57</f>
        <v>3.6977588361670617E-11</v>
      </c>
      <c r="V57" s="38">
        <f>IFERROR(s_RadSpec!$N$29*V29,".")*$B$57</f>
        <v>1.4869302616352211E-10</v>
      </c>
      <c r="W57" s="38">
        <f>IFERROR(s_RadSpec!$O$29*W29,".")*$B$57</f>
        <v>2.7978887067719364E-10</v>
      </c>
      <c r="X57" s="38">
        <f>IFERROR(s_RadSpec!$K$29*X29,".")*$B$57</f>
        <v>1.9934499637208864E-11</v>
      </c>
      <c r="Y57" s="47">
        <f t="shared" si="46"/>
        <v>3.9875766366425729E-10</v>
      </c>
      <c r="Z57" s="47">
        <f t="shared" si="46"/>
        <v>3.6977588361670617E-11</v>
      </c>
      <c r="AA57" s="47">
        <f t="shared" si="46"/>
        <v>1.4869302616352211E-10</v>
      </c>
      <c r="AB57" s="47">
        <f t="shared" si="46"/>
        <v>2.7978887067719364E-10</v>
      </c>
      <c r="AC57" s="47">
        <f t="shared" si="46"/>
        <v>1.9934499637208864E-11</v>
      </c>
      <c r="AD57" s="30">
        <f t="shared" si="57"/>
        <v>0</v>
      </c>
      <c r="AE57" s="30">
        <f t="shared" si="57"/>
        <v>12255771.296490857</v>
      </c>
      <c r="AF57" s="30">
        <f t="shared" si="47"/>
        <v>12255771.296490857</v>
      </c>
      <c r="AG57" s="38">
        <f>IFERROR(s_RadSpec!$G$29*AG29,".")*$B$57</f>
        <v>0</v>
      </c>
      <c r="AH57" s="38">
        <f>IFERROR(s_RadSpec!$J$29*AH29,".")*$B$57</f>
        <v>4.0797105943316913E-12</v>
      </c>
      <c r="AI57" s="47">
        <f t="shared" si="48"/>
        <v>0</v>
      </c>
      <c r="AJ57" s="47">
        <f t="shared" si="48"/>
        <v>4.0797105943316913E-12</v>
      </c>
      <c r="AK57" s="47">
        <f t="shared" si="49"/>
        <v>4.0797105943316913E-12</v>
      </c>
    </row>
    <row r="58" spans="1:37" x14ac:dyDescent="0.25">
      <c r="A58" s="29" t="s">
        <v>314</v>
      </c>
      <c r="B58" s="24">
        <v>1</v>
      </c>
      <c r="C58" s="109"/>
      <c r="D58" s="30">
        <f>IFERROR(D16/$B58,0)</f>
        <v>606.6672733339401</v>
      </c>
      <c r="E58" s="30">
        <f>IFERROR(E16/$B58,0)</f>
        <v>28428.879509083727</v>
      </c>
      <c r="F58" s="30">
        <f>IFERROR(F16/$B58,0)</f>
        <v>6448095992.3567705</v>
      </c>
      <c r="G58" s="30">
        <f t="shared" si="20"/>
        <v>593.9915427181088</v>
      </c>
      <c r="H58" s="38">
        <f>IFERROR(s_RadSpec!$I$16*H16,".")*$B$58</f>
        <v>8.2417500000000003E-8</v>
      </c>
      <c r="I58" s="38">
        <f>IFERROR(s_RadSpec!$G$16*I16,".")*$B$58</f>
        <v>1.7587749100003667E-9</v>
      </c>
      <c r="J58" s="38">
        <f>IFERROR(s_RadSpec!$F$16*J16,".")*$B$58</f>
        <v>7.7542269934050845E-15</v>
      </c>
      <c r="K58" s="47">
        <f t="shared" si="43"/>
        <v>8.2417500000000003E-8</v>
      </c>
      <c r="L58" s="47">
        <f t="shared" si="43"/>
        <v>1.7587749100003667E-9</v>
      </c>
      <c r="M58" s="47">
        <f t="shared" si="43"/>
        <v>7.7542269934050845E-15</v>
      </c>
      <c r="N58" s="47">
        <f t="shared" si="44"/>
        <v>8.4176282664227358E-8</v>
      </c>
      <c r="O58" s="30">
        <f t="shared" ref="O58:AE58" si="58">IFERROR(O16/$B58,0)</f>
        <v>6448095992.3567705</v>
      </c>
      <c r="P58" s="30">
        <f t="shared" si="58"/>
        <v>17873129788.768269</v>
      </c>
      <c r="Q58" s="30">
        <f t="shared" si="58"/>
        <v>6975697339.4444866</v>
      </c>
      <c r="R58" s="30">
        <f t="shared" si="58"/>
        <v>6934445515.863081</v>
      </c>
      <c r="S58" s="30">
        <f t="shared" si="58"/>
        <v>231984196001.01425</v>
      </c>
      <c r="T58" s="38">
        <f>IFERROR(s_RadSpec!$F$16*T16,".")*$B$58</f>
        <v>7.7542269934050845E-15</v>
      </c>
      <c r="U58" s="38">
        <f>IFERROR(s_RadSpec!$M$16*U16,".")*$B$58</f>
        <v>2.7974954913280341E-15</v>
      </c>
      <c r="V58" s="38">
        <f>IFERROR(s_RadSpec!$N$16*V16,".")*$B$58</f>
        <v>7.1677421721369836E-15</v>
      </c>
      <c r="W58" s="38">
        <f>IFERROR(s_RadSpec!$O$16*W16,".")*$B$58</f>
        <v>7.2103818373972567E-15</v>
      </c>
      <c r="X58" s="38">
        <f>IFERROR(s_RadSpec!$K$16*X16,".")*$B$58</f>
        <v>2.1553192356164385E-16</v>
      </c>
      <c r="Y58" s="47">
        <f t="shared" si="46"/>
        <v>7.7542269934050845E-15</v>
      </c>
      <c r="Z58" s="47">
        <f t="shared" si="46"/>
        <v>2.7974954913280341E-15</v>
      </c>
      <c r="AA58" s="47">
        <f t="shared" si="46"/>
        <v>7.1677421721369836E-15</v>
      </c>
      <c r="AB58" s="47">
        <f t="shared" si="46"/>
        <v>7.2103818373972567E-15</v>
      </c>
      <c r="AC58" s="47">
        <f t="shared" si="46"/>
        <v>2.1553192356164385E-16</v>
      </c>
      <c r="AD58" s="30">
        <f t="shared" si="58"/>
        <v>9.1636455272818912E-2</v>
      </c>
      <c r="AE58" s="30">
        <f t="shared" si="58"/>
        <v>8095353.5459107636</v>
      </c>
      <c r="AF58" s="30">
        <f t="shared" si="47"/>
        <v>9.1636454235527603E-2</v>
      </c>
      <c r="AG58" s="38">
        <f>IFERROR(s_RadSpec!$G$16*AG16,".")*$B$58</f>
        <v>5.4563437499999994E-4</v>
      </c>
      <c r="AH58" s="38">
        <f>IFERROR(s_RadSpec!$J$16*AH16,".")*$B$58</f>
        <v>6.1763825034246576E-12</v>
      </c>
      <c r="AI58" s="47">
        <f t="shared" si="48"/>
        <v>5.4563437499999994E-4</v>
      </c>
      <c r="AJ58" s="47">
        <f t="shared" si="48"/>
        <v>6.1763825034246576E-12</v>
      </c>
      <c r="AK58" s="47">
        <f t="shared" si="49"/>
        <v>5.4563438117638248E-4</v>
      </c>
    </row>
    <row r="59" spans="1:37" x14ac:dyDescent="0.25">
      <c r="A59" s="29" t="s">
        <v>315</v>
      </c>
      <c r="B59" s="24">
        <v>1</v>
      </c>
      <c r="C59" s="109"/>
      <c r="D59" s="30">
        <f>IFERROR(D7/$B59,0)</f>
        <v>97307.028000097314</v>
      </c>
      <c r="E59" s="30">
        <f>IFERROR(E7/$B59,0)</f>
        <v>991543.84629243263</v>
      </c>
      <c r="F59" s="30">
        <f>IFERROR(F7/$B59,0)</f>
        <v>414862.24832298153</v>
      </c>
      <c r="G59" s="30">
        <f t="shared" si="20"/>
        <v>73015.527806688609</v>
      </c>
      <c r="H59" s="38">
        <f>IFERROR(s_RadSpec!$I$7*H7,".")*$B$59</f>
        <v>5.1383749999999998E-10</v>
      </c>
      <c r="I59" s="38">
        <f>IFERROR(s_RadSpec!$G$7*I7,".")*$B$59</f>
        <v>5.0426413503507021E-11</v>
      </c>
      <c r="J59" s="38">
        <f>IFERROR(s_RadSpec!$F$7*J7,".")*$B$59</f>
        <v>1.2052193276712334E-10</v>
      </c>
      <c r="K59" s="47">
        <f t="shared" si="43"/>
        <v>5.1383749999999998E-10</v>
      </c>
      <c r="L59" s="47">
        <f t="shared" si="43"/>
        <v>5.0426413503507021E-11</v>
      </c>
      <c r="M59" s="47">
        <f t="shared" si="43"/>
        <v>1.2052193276712334E-10</v>
      </c>
      <c r="N59" s="47">
        <f t="shared" si="44"/>
        <v>6.8478584627063035E-10</v>
      </c>
      <c r="O59" s="30">
        <f t="shared" ref="O59:AE59" si="59">IFERROR(O7/$B59,0)</f>
        <v>414862.24832298153</v>
      </c>
      <c r="P59" s="30">
        <f t="shared" si="59"/>
        <v>1913145.2505623538</v>
      </c>
      <c r="Q59" s="30">
        <f t="shared" si="59"/>
        <v>651118.27467156947</v>
      </c>
      <c r="R59" s="30">
        <f t="shared" si="59"/>
        <v>458338.58587608667</v>
      </c>
      <c r="S59" s="30">
        <f t="shared" si="59"/>
        <v>648138.56990222598</v>
      </c>
      <c r="T59" s="38">
        <f>IFERROR(s_RadSpec!$F$7*T7,".")*$B$59</f>
        <v>1.2052193276712334E-10</v>
      </c>
      <c r="U59" s="38">
        <f>IFERROR(s_RadSpec!$M$7*U7,".")*$B$59</f>
        <v>2.6134973277801519E-11</v>
      </c>
      <c r="V59" s="38">
        <f>IFERROR(s_RadSpec!$N$7*V7,".")*$B$59</f>
        <v>7.6790964015286622E-11</v>
      </c>
      <c r="W59" s="38">
        <f>IFERROR(s_RadSpec!$O$7*W7,".")*$B$59</f>
        <v>1.0908965891324206E-10</v>
      </c>
      <c r="X59" s="38">
        <f>IFERROR(s_RadSpec!$K$7*X7,".")*$B$59</f>
        <v>7.7143997166443401E-11</v>
      </c>
      <c r="Y59" s="47">
        <f t="shared" si="46"/>
        <v>1.2052193276712334E-10</v>
      </c>
      <c r="Z59" s="47">
        <f t="shared" si="46"/>
        <v>2.6134973277801519E-11</v>
      </c>
      <c r="AA59" s="47">
        <f t="shared" si="46"/>
        <v>7.6790964015286622E-11</v>
      </c>
      <c r="AB59" s="47">
        <f t="shared" si="46"/>
        <v>1.0908965891324206E-10</v>
      </c>
      <c r="AC59" s="47">
        <f t="shared" si="46"/>
        <v>7.7143997166443401E-11</v>
      </c>
      <c r="AD59" s="30">
        <f t="shared" si="59"/>
        <v>3.1961007570763673</v>
      </c>
      <c r="AE59" s="30">
        <f t="shared" si="59"/>
        <v>6022371.1809534831</v>
      </c>
      <c r="AF59" s="30">
        <f t="shared" si="47"/>
        <v>3.1960990608915387</v>
      </c>
      <c r="AG59" s="38">
        <f>IFERROR(s_RadSpec!$G$7*AG7,".")*$B$59</f>
        <v>1.5644062499999999E-5</v>
      </c>
      <c r="AH59" s="38">
        <f>IFERROR(s_RadSpec!$J$7*AH7,".")*$B$59</f>
        <v>8.3023776678082202E-12</v>
      </c>
      <c r="AI59" s="47">
        <f t="shared" si="48"/>
        <v>1.5644062499999999E-5</v>
      </c>
      <c r="AJ59" s="47">
        <f t="shared" si="48"/>
        <v>8.3023776678082202E-12</v>
      </c>
      <c r="AK59" s="47">
        <f t="shared" si="49"/>
        <v>1.5644070802377668E-5</v>
      </c>
    </row>
    <row r="60" spans="1:37" x14ac:dyDescent="0.25">
      <c r="A60" s="29" t="s">
        <v>316</v>
      </c>
      <c r="B60" s="33">
        <v>1.9000000000000001E-8</v>
      </c>
      <c r="C60" s="109"/>
      <c r="D60" s="30">
        <f>IFERROR(D12/$B60,0)</f>
        <v>0</v>
      </c>
      <c r="E60" s="30">
        <f>IFERROR(E12/$B60,0)</f>
        <v>0</v>
      </c>
      <c r="F60" s="30">
        <f>IFERROR(F12/$B60,0)</f>
        <v>97013151176.567902</v>
      </c>
      <c r="G60" s="30">
        <f t="shared" si="20"/>
        <v>97013151176.567902</v>
      </c>
      <c r="H60" s="38">
        <f>IFERROR(s_RadSpec!$I$12*H12,".")*$B$60</f>
        <v>0</v>
      </c>
      <c r="I60" s="38">
        <f>IFERROR(s_RadSpec!$G$12*I12,".")*$B$60</f>
        <v>0</v>
      </c>
      <c r="J60" s="38">
        <f>IFERROR(s_RadSpec!$F$12*J12,".")*$B$60</f>
        <v>5.1539404084501847E-16</v>
      </c>
      <c r="K60" s="47">
        <f t="shared" si="43"/>
        <v>0</v>
      </c>
      <c r="L60" s="47">
        <f t="shared" si="43"/>
        <v>0</v>
      </c>
      <c r="M60" s="47">
        <f t="shared" si="43"/>
        <v>5.1539404084501847E-16</v>
      </c>
      <c r="N60" s="47">
        <f t="shared" si="44"/>
        <v>5.1539404084501847E-16</v>
      </c>
      <c r="O60" s="30">
        <f t="shared" ref="O60:AE60" si="60">IFERROR(O12/$B60,0)</f>
        <v>97013151176.567902</v>
      </c>
      <c r="P60" s="30">
        <f t="shared" si="60"/>
        <v>765899187287.00232</v>
      </c>
      <c r="Q60" s="30">
        <f t="shared" si="60"/>
        <v>199111152425.24384</v>
      </c>
      <c r="R60" s="30">
        <f t="shared" si="60"/>
        <v>119227859591.87997</v>
      </c>
      <c r="S60" s="30">
        <f t="shared" si="60"/>
        <v>1299751964340.5007</v>
      </c>
      <c r="T60" s="38">
        <f>IFERROR(s_RadSpec!$F$12*T12,".")*$B$60</f>
        <v>5.1539404084501847E-16</v>
      </c>
      <c r="U60" s="38">
        <f>IFERROR(s_RadSpec!$M$12*U12,".")*$B$60</f>
        <v>6.5282743251252082E-17</v>
      </c>
      <c r="V60" s="38">
        <f>IFERROR(s_RadSpec!$N$12*V12,".")*$B$60</f>
        <v>2.5111601932379194E-16</v>
      </c>
      <c r="W60" s="38">
        <f>IFERROR(s_RadSpec!$O$12*W12,".")*$B$60</f>
        <v>4.1936507265291265E-16</v>
      </c>
      <c r="X60" s="38">
        <f>IFERROR(s_RadSpec!$K$12*X12,".")*$B$60</f>
        <v>3.8468878195056393E-17</v>
      </c>
      <c r="Y60" s="47">
        <f t="shared" si="46"/>
        <v>5.1539404084501847E-16</v>
      </c>
      <c r="Z60" s="47">
        <f t="shared" si="46"/>
        <v>6.5282743251252082E-17</v>
      </c>
      <c r="AA60" s="47">
        <f t="shared" si="46"/>
        <v>2.5111601932379194E-16</v>
      </c>
      <c r="AB60" s="47">
        <f t="shared" si="46"/>
        <v>4.1936507265291265E-16</v>
      </c>
      <c r="AC60" s="47">
        <f t="shared" si="46"/>
        <v>3.8468878195056393E-17</v>
      </c>
      <c r="AD60" s="30">
        <f t="shared" si="60"/>
        <v>0</v>
      </c>
      <c r="AE60" s="30">
        <f t="shared" si="60"/>
        <v>3378494297178.8574</v>
      </c>
      <c r="AF60" s="30">
        <f t="shared" si="47"/>
        <v>3378494297178.8574</v>
      </c>
      <c r="AG60" s="38">
        <f>IFERROR(s_RadSpec!$G$12*AG12,".")*$B$60</f>
        <v>0</v>
      </c>
      <c r="AH60" s="38">
        <f>IFERROR(s_RadSpec!$J$12*AH12,".")*$B$60</f>
        <v>1.4799492200342468E-17</v>
      </c>
      <c r="AI60" s="47">
        <f t="shared" si="48"/>
        <v>0</v>
      </c>
      <c r="AJ60" s="47">
        <f t="shared" si="48"/>
        <v>1.4799492200342468E-17</v>
      </c>
      <c r="AK60" s="47">
        <f t="shared" si="49"/>
        <v>1.4799492200342468E-17</v>
      </c>
    </row>
    <row r="61" spans="1:37" x14ac:dyDescent="0.25">
      <c r="A61" s="29" t="s">
        <v>317</v>
      </c>
      <c r="B61" s="24">
        <v>1</v>
      </c>
      <c r="C61" s="109"/>
      <c r="D61" s="30">
        <f>IFERROR(D18/$B61,0)</f>
        <v>253.29922237138732</v>
      </c>
      <c r="E61" s="30">
        <f>IFERROR(E18/$B61,0)</f>
        <v>31112.217626012549</v>
      </c>
      <c r="F61" s="30">
        <f>IFERROR(F18/$B61,0)</f>
        <v>9934173.6458497494</v>
      </c>
      <c r="G61" s="30">
        <f t="shared" si="20"/>
        <v>251.24729353392138</v>
      </c>
      <c r="H61" s="38">
        <f>IFERROR(s_RadSpec!$I$18*H18,".")*$B$61</f>
        <v>1.97395E-7</v>
      </c>
      <c r="I61" s="38">
        <f>IFERROR(s_RadSpec!$G$18*I18,".")*$B$61</f>
        <v>1.6070856986483537E-9</v>
      </c>
      <c r="J61" s="38">
        <f>IFERROR(s_RadSpec!$F$18*J18,".")*$B$61</f>
        <v>5.0331312681340898E-12</v>
      </c>
      <c r="K61" s="47">
        <f t="shared" si="43"/>
        <v>1.97395E-7</v>
      </c>
      <c r="L61" s="47">
        <f t="shared" si="43"/>
        <v>1.6070856986483537E-9</v>
      </c>
      <c r="M61" s="47">
        <f t="shared" si="43"/>
        <v>5.0331312681340898E-12</v>
      </c>
      <c r="N61" s="47">
        <f t="shared" si="44"/>
        <v>1.9900711882991648E-7</v>
      </c>
      <c r="O61" s="30">
        <f t="shared" ref="O61:AE61" si="61">IFERROR(O18/$B61,0)</f>
        <v>9934173.6458497494</v>
      </c>
      <c r="P61" s="30">
        <f t="shared" si="61"/>
        <v>99002382.388733715</v>
      </c>
      <c r="Q61" s="30">
        <f t="shared" si="61"/>
        <v>24418761.400580149</v>
      </c>
      <c r="R61" s="30">
        <f t="shared" si="61"/>
        <v>12986281.234334793</v>
      </c>
      <c r="S61" s="30">
        <f t="shared" si="61"/>
        <v>173119853.03018382</v>
      </c>
      <c r="T61" s="38">
        <f>IFERROR(s_RadSpec!$F$18*T18,".")*$B$61</f>
        <v>5.0331312681340898E-12</v>
      </c>
      <c r="U61" s="38">
        <f>IFERROR(s_RadSpec!$M$18*U18,".")*$B$61</f>
        <v>5.0503835153859814E-13</v>
      </c>
      <c r="V61" s="38">
        <f>IFERROR(s_RadSpec!$N$18*V18,".")*$B$61</f>
        <v>2.0476059035005803E-12</v>
      </c>
      <c r="W61" s="38">
        <f>IFERROR(s_RadSpec!$O$18*W18,".")*$B$61</f>
        <v>3.8502169403049424E-12</v>
      </c>
      <c r="X61" s="38">
        <f>IFERROR(s_RadSpec!$K$18*X18,".")*$B$61</f>
        <v>2.8881725073601122E-13</v>
      </c>
      <c r="Y61" s="47">
        <f t="shared" si="46"/>
        <v>5.0331312681340898E-12</v>
      </c>
      <c r="Z61" s="47">
        <f t="shared" si="46"/>
        <v>5.0503835153859814E-13</v>
      </c>
      <c r="AA61" s="47">
        <f t="shared" si="46"/>
        <v>2.0476059035005803E-12</v>
      </c>
      <c r="AB61" s="47">
        <f t="shared" si="46"/>
        <v>3.8502169403049424E-12</v>
      </c>
      <c r="AC61" s="47">
        <f t="shared" si="46"/>
        <v>2.8881725073601122E-13</v>
      </c>
      <c r="AD61" s="30">
        <f t="shared" si="61"/>
        <v>0.10028581457152887</v>
      </c>
      <c r="AE61" s="30">
        <f t="shared" si="61"/>
        <v>762048643.84690726</v>
      </c>
      <c r="AF61" s="30">
        <f t="shared" si="47"/>
        <v>0.10028581455833123</v>
      </c>
      <c r="AG61" s="38">
        <f>IFERROR(s_RadSpec!$G$18*AG18,".")*$B$61</f>
        <v>4.9857500000000002E-4</v>
      </c>
      <c r="AH61" s="38">
        <f>IFERROR(s_RadSpec!$J$18*AH18,".")*$B$61</f>
        <v>6.5612609383561654E-14</v>
      </c>
      <c r="AI61" s="47">
        <f t="shared" si="48"/>
        <v>4.9857500000000002E-4</v>
      </c>
      <c r="AJ61" s="47">
        <f t="shared" si="48"/>
        <v>6.5612609383561654E-14</v>
      </c>
      <c r="AK61" s="47">
        <f t="shared" si="49"/>
        <v>4.9857500006561268E-4</v>
      </c>
    </row>
    <row r="62" spans="1:37" x14ac:dyDescent="0.25">
      <c r="A62" s="29" t="s">
        <v>318</v>
      </c>
      <c r="B62" s="24">
        <v>1.339E-6</v>
      </c>
      <c r="C62" s="109"/>
      <c r="D62" s="30">
        <f>IFERROR(D27/$B62,0)</f>
        <v>0</v>
      </c>
      <c r="E62" s="30">
        <f>IFERROR(E27/$B62,0)</f>
        <v>0</v>
      </c>
      <c r="F62" s="30">
        <f>IFERROR(F27/$B62,0)</f>
        <v>89862207057.034271</v>
      </c>
      <c r="G62" s="30">
        <f t="shared" ref="G62" si="62">IFERROR(SUM(D62:F62),0)</f>
        <v>89862207057.034271</v>
      </c>
      <c r="H62" s="38">
        <f>IFERROR(s_RadSpec!$I$27*H27,".")*$B$62</f>
        <v>0</v>
      </c>
      <c r="I62" s="38">
        <f>IFERROR(s_RadSpec!$G$27*I27,".")*$B$62</f>
        <v>0</v>
      </c>
      <c r="J62" s="38">
        <f>IFERROR(s_RadSpec!$F$27*J27,".")*$B$62</f>
        <v>5.5640743353060227E-16</v>
      </c>
      <c r="K62" s="47">
        <f t="shared" si="43"/>
        <v>0</v>
      </c>
      <c r="L62" s="47">
        <f t="shared" si="43"/>
        <v>0</v>
      </c>
      <c r="M62" s="47">
        <f t="shared" si="43"/>
        <v>5.5640743353060227E-16</v>
      </c>
      <c r="N62" s="47">
        <f t="shared" si="44"/>
        <v>5.5640743353060227E-16</v>
      </c>
      <c r="O62" s="30">
        <f t="shared" ref="O62:AE62" si="63">IFERROR(O27/$B62,0)</f>
        <v>89862207057.034271</v>
      </c>
      <c r="P62" s="30">
        <f t="shared" si="63"/>
        <v>784931818147.58569</v>
      </c>
      <c r="Q62" s="30">
        <f t="shared" si="63"/>
        <v>226337573610.90256</v>
      </c>
      <c r="R62" s="30">
        <f t="shared" si="63"/>
        <v>123849671510.83743</v>
      </c>
      <c r="S62" s="30">
        <f t="shared" si="63"/>
        <v>594077551400.83191</v>
      </c>
      <c r="T62" s="38">
        <f>IFERROR(s_RadSpec!$F$27*T27,".")*$B$62</f>
        <v>5.5640743353060227E-16</v>
      </c>
      <c r="U62" s="38">
        <f>IFERROR(s_RadSpec!$M$27*U27,".")*$B$62</f>
        <v>6.3699800217041067E-17</v>
      </c>
      <c r="V62" s="38">
        <f>IFERROR(s_RadSpec!$N$27*V27,".")*$B$62</f>
        <v>2.2090896885708929E-16</v>
      </c>
      <c r="W62" s="38">
        <f>IFERROR(s_RadSpec!$O$27*W27,".")*$B$62</f>
        <v>4.037152411472062E-16</v>
      </c>
      <c r="X62" s="38">
        <f>IFERROR(s_RadSpec!$K$27*X27,".")*$B$62</f>
        <v>8.4164095886303492E-17</v>
      </c>
      <c r="Y62" s="47">
        <f t="shared" si="46"/>
        <v>5.5640743353060227E-16</v>
      </c>
      <c r="Z62" s="47">
        <f t="shared" si="46"/>
        <v>6.3699800217041067E-17</v>
      </c>
      <c r="AA62" s="47">
        <f t="shared" si="46"/>
        <v>2.2090896885708929E-16</v>
      </c>
      <c r="AB62" s="47">
        <f t="shared" si="46"/>
        <v>4.037152411472062E-16</v>
      </c>
      <c r="AC62" s="47">
        <f t="shared" si="46"/>
        <v>8.4164095886303492E-17</v>
      </c>
      <c r="AD62" s="30">
        <f t="shared" si="63"/>
        <v>0</v>
      </c>
      <c r="AE62" s="30">
        <f t="shared" si="63"/>
        <v>2530983207985.8687</v>
      </c>
      <c r="AF62" s="30">
        <f t="shared" si="47"/>
        <v>2530983207985.8687</v>
      </c>
      <c r="AG62" s="38">
        <f>IFERROR(s_RadSpec!$G$27*AG27,".")*$B$62</f>
        <v>0</v>
      </c>
      <c r="AH62" s="38">
        <f>IFERROR(s_RadSpec!$J$27*AH27,".")*$B$62</f>
        <v>1.9755168600976031E-17</v>
      </c>
      <c r="AI62" s="47">
        <f t="shared" si="48"/>
        <v>0</v>
      </c>
      <c r="AJ62" s="47">
        <f t="shared" si="48"/>
        <v>1.9755168600976031E-17</v>
      </c>
      <c r="AK62" s="47">
        <f t="shared" si="49"/>
        <v>1.9755168600976031E-17</v>
      </c>
    </row>
    <row r="63" spans="1:37" x14ac:dyDescent="0.25">
      <c r="A63" s="26" t="s">
        <v>35</v>
      </c>
      <c r="B63" s="26" t="s">
        <v>289</v>
      </c>
      <c r="C63" s="110"/>
      <c r="D63" s="27">
        <f>1/SUM(1/D66,1/D68,1/D72,1/D73,1/D75)</f>
        <v>178.33138104199978</v>
      </c>
      <c r="E63" s="27">
        <f>1/SUM(1/E64,1/E65,1/E66,1/E68,1/E72,1/E73,1/E75)</f>
        <v>14562.25102040405</v>
      </c>
      <c r="F63" s="27">
        <f>1/SUM(1/F64,1/F66,1/F68,1/F69,1/F70,1/F71,1/F72,1/F73,1/F74,1/F75,1/F76)</f>
        <v>42.122424173291662</v>
      </c>
      <c r="G63" s="28">
        <f>1/SUM(1/G64,1/G65,1/G66,1/G68,1/G69,1/G70,1/G71,1/G72,1/G73,1/G74,1/G75,1/G76)</f>
        <v>33.994488995075557</v>
      </c>
      <c r="H63" s="45"/>
      <c r="I63" s="45"/>
      <c r="J63" s="45"/>
      <c r="K63" s="46">
        <f>IFERROR(IF(SUM(H64:H76)&gt;0.01,1-EXP(-SUM(H64:H76)),SUM(H64:H76)),".")</f>
        <v>2.8037690118165035E-7</v>
      </c>
      <c r="L63" s="46">
        <f>IFERROR(IF(SUM(I64:I76)&gt;0.01,1-EXP(-SUM(I64:I76)),SUM(I64:I76)),".")</f>
        <v>3.4335350990682673E-9</v>
      </c>
      <c r="M63" s="46">
        <f>IFERROR(IF(SUM(J64:J76)&gt;0.01,1-EXP(-SUM(J64:J76)),SUM(J64:J76)),".")</f>
        <v>1.1870162029208008E-6</v>
      </c>
      <c r="N63" s="46">
        <f>IFERROR(IF(SUM(H64:J76)&gt;0.01,1-EXP(-SUM(H64:J76)),SUM(H64:J76)),".")</f>
        <v>1.4708266392015194E-6</v>
      </c>
      <c r="O63" s="27">
        <f t="shared" ref="O63:S63" si="64">1/SUM(1/O64,1/O66,1/O68,1/O69,1/O70,1/O71,1/O72,1/O73,1/O74,1/O75,1/O76)</f>
        <v>42.122424173291662</v>
      </c>
      <c r="P63" s="27">
        <f t="shared" si="64"/>
        <v>467.01200269132852</v>
      </c>
      <c r="Q63" s="27">
        <f t="shared" si="64"/>
        <v>115.12365153037163</v>
      </c>
      <c r="R63" s="27">
        <f t="shared" si="64"/>
        <v>59.449587314610724</v>
      </c>
      <c r="S63" s="27">
        <f t="shared" si="64"/>
        <v>856.78669454575936</v>
      </c>
      <c r="T63" s="45"/>
      <c r="U63" s="45"/>
      <c r="V63" s="45"/>
      <c r="W63" s="45"/>
      <c r="X63" s="45"/>
      <c r="Y63" s="46">
        <f>IFERROR(IF(SUM(T64:T76)&gt;0.01,1-EXP(-SUM(T64:T76)),SUM(T64:T76)),".")</f>
        <v>1.1870162029208008E-6</v>
      </c>
      <c r="Z63" s="46">
        <f t="shared" ref="Z63:AC63" si="65">IFERROR(IF(SUM(U64:U76)&gt;0.01,1-EXP(-SUM(U64:U76)),SUM(U64:U76)),".")</f>
        <v>1.0706362943962171E-7</v>
      </c>
      <c r="AA63" s="46">
        <f t="shared" si="65"/>
        <v>4.3431561920887401E-7</v>
      </c>
      <c r="AB63" s="46">
        <f t="shared" si="65"/>
        <v>8.4104873151426709E-7</v>
      </c>
      <c r="AC63" s="46">
        <f t="shared" si="65"/>
        <v>5.8357582252731409E-8</v>
      </c>
      <c r="AD63" s="27">
        <f>1/SUM(1/AD64,1/AD65,1/AD66,1/AD68,1/AD72,1/AD73,1/AD75)</f>
        <v>4.6939347851414022E-2</v>
      </c>
      <c r="AE63" s="27">
        <f t="shared" ref="AE63:AF63" si="66">1/SUM(1/AE64,1/AE65,1/AE66,1/AE67,1/AE68,1/AE69,1/AE70,1/AE71,1/AE72,1/AE73,1/AE74,1/AE75,1/AE76)</f>
        <v>4124.3617233116993</v>
      </c>
      <c r="AF63" s="28">
        <f t="shared" si="66"/>
        <v>4.693881364092304E-2</v>
      </c>
      <c r="AG63" s="45"/>
      <c r="AH63" s="45"/>
      <c r="AI63" s="46">
        <f>IFERROR(IF(SUM(AG64:AG76)&gt;0.01,1-EXP(-SUM(AG64:AG76)),SUM(AG64:AG76)),".")</f>
        <v>1.0652044028876249E-3</v>
      </c>
      <c r="AJ63" s="46">
        <f>IFERROR(IF(SUM(AH64:AH76)&gt;0.01,1-EXP(-SUM(AH64:AH76)),SUM(AH64:AH76)),".")</f>
        <v>1.2123087971986121E-8</v>
      </c>
      <c r="AK63" s="46">
        <f>IFERROR(IF(SUM(AG64:AH76)&gt;0.01,1-EXP(-SUM(AG64:AH76)),SUM(AG64:AH76)),".")</f>
        <v>1.065216525975597E-3</v>
      </c>
    </row>
    <row r="64" spans="1:37" x14ac:dyDescent="0.25">
      <c r="A64" s="29" t="s">
        <v>306</v>
      </c>
      <c r="B64" s="34">
        <v>1</v>
      </c>
      <c r="C64" s="2"/>
      <c r="D64" s="30">
        <f>IFERROR(D25/$B50,0)</f>
        <v>0</v>
      </c>
      <c r="E64" s="30">
        <f>IFERROR(E25/$B50,0)</f>
        <v>197917370.37179211</v>
      </c>
      <c r="F64" s="30">
        <f>IFERROR(F25/$B50,0)</f>
        <v>377805.58717240376</v>
      </c>
      <c r="G64" s="30">
        <f t="shared" ref="G64:G76" si="67">IF(AND(D64&lt;&gt;0,E64&lt;&gt;0,F64&lt;&gt;0),1/((1/D64)+(1/E64)+(1/F64)),IF(AND(D64&lt;&gt;0,E64&lt;&gt;0,F64=0), 1/((1/D64)+(1/E64)),IF(AND(D64&lt;&gt;0,E64=0,F64&lt;&gt;0),1/((1/D64)+(1/F64)),IF(AND(D64=0,E64&lt;&gt;0,F64&lt;&gt;0),1/((1/E64)+(1/F64)),IF(AND(D64&lt;&gt;0,E64=0,F64=0),1/((1/D64)),IF(AND(D64=0,E64&lt;&gt;0,F64=0),1/((1/E64)),IF(AND(D64=0,E64=0,F64&lt;&gt;0),1/((1/F64)),IF(AND(D64=0,E64=0,F64=0),0))))))))</f>
        <v>377085.7660218972</v>
      </c>
      <c r="H64" s="38">
        <f>IFERROR(s_RadSpec!$I$25*H25,".")*$B$64</f>
        <v>0</v>
      </c>
      <c r="I64" s="38">
        <f>IFERROR(s_RadSpec!$G$25*I25,".")*$B$64</f>
        <v>2.5263068070313339E-13</v>
      </c>
      <c r="J64" s="38">
        <f>IFERROR(s_RadSpec!$F$25*J25,".")*$B$64</f>
        <v>1.3234319898287671E-10</v>
      </c>
      <c r="K64" s="47">
        <f t="shared" ref="K64:M76" si="68">IFERROR(IF(H64&gt;0.01,1-EXP(-H64),H64),".")</f>
        <v>0</v>
      </c>
      <c r="L64" s="47">
        <f t="shared" si="68"/>
        <v>2.5263068070313339E-13</v>
      </c>
      <c r="M64" s="47">
        <f t="shared" si="68"/>
        <v>1.3234319898287671E-10</v>
      </c>
      <c r="N64" s="47">
        <f t="shared" ref="N64:N76" si="69">IFERROR(IF(SUM(H64:J64)&gt;0.01,1-EXP(-SUM(H64:J64)),SUM(H64:J64)),".")</f>
        <v>1.3259582966357985E-10</v>
      </c>
      <c r="O64" s="30">
        <f t="shared" ref="O64:AE64" si="70">IFERROR(O25/$B50,0)</f>
        <v>377805.58717240376</v>
      </c>
      <c r="P64" s="30">
        <f t="shared" si="70"/>
        <v>3210171.9255572008</v>
      </c>
      <c r="Q64" s="30">
        <f t="shared" si="70"/>
        <v>815975.29065042082</v>
      </c>
      <c r="R64" s="30">
        <f t="shared" si="70"/>
        <v>476048.32445548102</v>
      </c>
      <c r="S64" s="30">
        <f t="shared" si="70"/>
        <v>5862921.4665968232</v>
      </c>
      <c r="T64" s="38">
        <f>IFERROR(s_RadSpec!$F$25*T25,".")*$B$64</f>
        <v>1.3234319898287671E-10</v>
      </c>
      <c r="U64" s="38">
        <f>IFERROR(s_RadSpec!$M$25*U25,".")*$B$64</f>
        <v>1.5575489774218664E-11</v>
      </c>
      <c r="V64" s="38">
        <f>IFERROR(s_RadSpec!$N$25*V25,".")*$B$64</f>
        <v>6.1276365317563228E-11</v>
      </c>
      <c r="W64" s="38">
        <f>IFERROR(s_RadSpec!$O$25*W25,".")*$B$64</f>
        <v>1.0503135381726545E-10</v>
      </c>
      <c r="X64" s="38">
        <f>IFERROR(s_RadSpec!$K$25*X25,".")*$B$64</f>
        <v>8.5281715412474853E-12</v>
      </c>
      <c r="Y64" s="47">
        <f t="shared" ref="Y64:AC76" si="71">IFERROR(IF(T64&gt;0.01,1-EXP(-T64),T64),".")</f>
        <v>1.3234319898287671E-10</v>
      </c>
      <c r="Z64" s="47">
        <f t="shared" si="71"/>
        <v>1.5575489774218664E-11</v>
      </c>
      <c r="AA64" s="47">
        <f t="shared" si="71"/>
        <v>6.1276365317563228E-11</v>
      </c>
      <c r="AB64" s="47">
        <f t="shared" si="71"/>
        <v>1.0503135381726545E-10</v>
      </c>
      <c r="AC64" s="47">
        <f t="shared" si="71"/>
        <v>8.5281715412474853E-12</v>
      </c>
      <c r="AD64" s="30">
        <f t="shared" si="70"/>
        <v>637.95853269537486</v>
      </c>
      <c r="AE64" s="30">
        <f t="shared" si="70"/>
        <v>19626864.352316026</v>
      </c>
      <c r="AF64" s="30">
        <f t="shared" ref="AF64:AF76" si="72">IFERROR(IF(AND(AD64&lt;&gt;0,AE64&lt;&gt;0),1/((1/AD64)+(1/AE64)),IF(AND(AD64&lt;&gt;0,AE64=0),1/((1/AD64)),IF(AND(AD64=0,AE64&lt;&gt;0),1/((1/AE64)),IF(AND(AD64=0,AE64=0),0)))),0)</f>
        <v>637.93779693985209</v>
      </c>
      <c r="AG64" s="38">
        <f>IFERROR(s_RadSpec!$G$25*AG25,".")*$B$64</f>
        <v>7.8374999999999999E-8</v>
      </c>
      <c r="AH64" s="38">
        <f>IFERROR(s_RadSpec!$J$25*AH25,".")*$B$64</f>
        <v>2.5475286883561649E-12</v>
      </c>
      <c r="AI64" s="47">
        <f t="shared" ref="AI64:AJ76" si="73">IFERROR(IF(AG64&gt;0.01,1-EXP(-AG64),AG64),".")</f>
        <v>7.8374999999999999E-8</v>
      </c>
      <c r="AJ64" s="47">
        <f t="shared" si="73"/>
        <v>2.5475286883561649E-12</v>
      </c>
      <c r="AK64" s="47">
        <f t="shared" ref="AK64:AK76" si="74">IFERROR(IF(SUM(AG64:AH64)&gt;0.01,1-EXP(-SUM(AG64:AH64)),SUM(AG64:AH64)),".")</f>
        <v>7.8377547528688359E-8</v>
      </c>
    </row>
    <row r="65" spans="1:37" x14ac:dyDescent="0.25">
      <c r="A65" s="29" t="s">
        <v>307</v>
      </c>
      <c r="B65" s="34">
        <v>1</v>
      </c>
      <c r="C65" s="2"/>
      <c r="D65" s="30">
        <f>IFERROR(D21/$B51,0)</f>
        <v>0</v>
      </c>
      <c r="E65" s="30">
        <f>IFERROR(E21/$B51,0)</f>
        <v>32464144.20486949</v>
      </c>
      <c r="F65" s="30">
        <f>IFERROR(F21/$B51,0)</f>
        <v>0</v>
      </c>
      <c r="G65" s="30">
        <f t="shared" si="67"/>
        <v>32464144.204869494</v>
      </c>
      <c r="H65" s="38">
        <f>IFERROR(s_RadSpec!$I$21*H21,".")*$B$65</f>
        <v>0</v>
      </c>
      <c r="I65" s="38">
        <f>IFERROR(s_RadSpec!$G$21*I21,".")*$B$65</f>
        <v>1.5401607288480501E-12</v>
      </c>
      <c r="J65" s="38">
        <f>IFERROR(s_RadSpec!$F$21*J21,".")*$B$65</f>
        <v>0</v>
      </c>
      <c r="K65" s="47">
        <f t="shared" si="68"/>
        <v>0</v>
      </c>
      <c r="L65" s="47">
        <f t="shared" si="68"/>
        <v>1.5401607288480501E-12</v>
      </c>
      <c r="M65" s="47">
        <f t="shared" si="68"/>
        <v>0</v>
      </c>
      <c r="N65" s="47">
        <f t="shared" si="69"/>
        <v>1.5401607288480501E-12</v>
      </c>
      <c r="O65" s="30">
        <f t="shared" ref="O65:AE65" si="75">IFERROR(O21/$B51,0)</f>
        <v>0</v>
      </c>
      <c r="P65" s="30">
        <f t="shared" si="75"/>
        <v>0</v>
      </c>
      <c r="Q65" s="30">
        <f t="shared" si="75"/>
        <v>0</v>
      </c>
      <c r="R65" s="30">
        <f t="shared" si="75"/>
        <v>0</v>
      </c>
      <c r="S65" s="30">
        <f t="shared" si="75"/>
        <v>0</v>
      </c>
      <c r="T65" s="38">
        <f>IFERROR(s_RadSpec!$F$21*T21,".")*$B$65</f>
        <v>0</v>
      </c>
      <c r="U65" s="38">
        <f>IFERROR(s_RadSpec!$M$21*U21,".")*$B$65</f>
        <v>0</v>
      </c>
      <c r="V65" s="38">
        <f>IFERROR(s_RadSpec!$N$21*V21,".")*$B$65</f>
        <v>0</v>
      </c>
      <c r="W65" s="38">
        <f>IFERROR(s_RadSpec!$O$21*W21,".")*$B$65</f>
        <v>0</v>
      </c>
      <c r="X65" s="38">
        <f>IFERROR(s_RadSpec!$K$21*X21,".")*$B$65</f>
        <v>0</v>
      </c>
      <c r="Y65" s="47">
        <f t="shared" si="71"/>
        <v>0</v>
      </c>
      <c r="Z65" s="47">
        <f t="shared" si="71"/>
        <v>0</v>
      </c>
      <c r="AA65" s="47">
        <f t="shared" si="71"/>
        <v>0</v>
      </c>
      <c r="AB65" s="47">
        <f t="shared" si="71"/>
        <v>0</v>
      </c>
      <c r="AC65" s="47">
        <f t="shared" si="71"/>
        <v>0</v>
      </c>
      <c r="AD65" s="30">
        <f t="shared" si="75"/>
        <v>104.64355788096796</v>
      </c>
      <c r="AE65" s="30">
        <f t="shared" si="75"/>
        <v>807140279577.49329</v>
      </c>
      <c r="AF65" s="30">
        <f t="shared" si="72"/>
        <v>104.64355786740121</v>
      </c>
      <c r="AG65" s="38">
        <f>IFERROR(s_RadSpec!$G$21*AG21,".")*$B$65</f>
        <v>4.7781250000000003E-7</v>
      </c>
      <c r="AH65" s="38">
        <f>IFERROR(s_RadSpec!$J$21*AH21,".")*$B$65</f>
        <v>6.1947100479452062E-17</v>
      </c>
      <c r="AI65" s="47">
        <f t="shared" si="73"/>
        <v>4.7781250000000003E-7</v>
      </c>
      <c r="AJ65" s="47">
        <f t="shared" si="73"/>
        <v>6.1947100479452062E-17</v>
      </c>
      <c r="AK65" s="47">
        <f t="shared" si="74"/>
        <v>4.7781250006194715E-7</v>
      </c>
    </row>
    <row r="66" spans="1:37" x14ac:dyDescent="0.25">
      <c r="A66" s="29" t="s">
        <v>308</v>
      </c>
      <c r="B66" s="35">
        <v>0.99980000000000002</v>
      </c>
      <c r="C66" s="2"/>
      <c r="D66" s="30">
        <f>IFERROR(D17/$B52,0)</f>
        <v>1649324.8025460506</v>
      </c>
      <c r="E66" s="30">
        <f>IFERROR(E17/$B52,0)</f>
        <v>5808775.7119980734</v>
      </c>
      <c r="F66" s="30">
        <f>IFERROR(F17/$B52,0)</f>
        <v>884.89397454709444</v>
      </c>
      <c r="G66" s="30">
        <f t="shared" si="67"/>
        <v>884.28482931867552</v>
      </c>
      <c r="H66" s="38">
        <f>IFERROR(s_RadSpec!$I$17*H17,".")*$B$66</f>
        <v>3.0315435699999997E-11</v>
      </c>
      <c r="I66" s="38">
        <f>IFERROR(s_RadSpec!$G$17*I17,".")*$B$66</f>
        <v>8.6076657937962001E-12</v>
      </c>
      <c r="J66" s="38">
        <f>IFERROR(s_RadSpec!$F$17*J17,".")*$B$66</f>
        <v>5.6503944470399366E-8</v>
      </c>
      <c r="K66" s="47">
        <f t="shared" si="68"/>
        <v>3.0315435699999997E-11</v>
      </c>
      <c r="L66" s="47">
        <f t="shared" si="68"/>
        <v>8.6076657937962001E-12</v>
      </c>
      <c r="M66" s="47">
        <f t="shared" si="68"/>
        <v>5.6503944470399366E-8</v>
      </c>
      <c r="N66" s="47">
        <f t="shared" si="69"/>
        <v>5.654286757189316E-8</v>
      </c>
      <c r="O66" s="30">
        <f t="shared" ref="O66:AE66" si="76">IFERROR(O17/$B52,0)</f>
        <v>884.89397454709444</v>
      </c>
      <c r="P66" s="30">
        <f t="shared" si="76"/>
        <v>6798.0538577332363</v>
      </c>
      <c r="Q66" s="30">
        <f t="shared" si="76"/>
        <v>1838.967281512347</v>
      </c>
      <c r="R66" s="30">
        <f t="shared" si="76"/>
        <v>1106.3190490357188</v>
      </c>
      <c r="S66" s="30">
        <f t="shared" si="76"/>
        <v>13203.31367423912</v>
      </c>
      <c r="T66" s="38">
        <f>IFERROR(s_RadSpec!$F$17*T17,".")*$B$66</f>
        <v>5.6503944470399366E-8</v>
      </c>
      <c r="U66" s="38">
        <f>IFERROR(s_RadSpec!$M$17*U17,".")*$B$66</f>
        <v>7.3550461715041732E-9</v>
      </c>
      <c r="V66" s="38">
        <f>IFERROR(s_RadSpec!$N$17*V17,".")*$B$66</f>
        <v>2.7189173240146257E-8</v>
      </c>
      <c r="W66" s="38">
        <f>IFERROR(s_RadSpec!$O$17*W17,".")*$B$66</f>
        <v>4.5194919172349618E-8</v>
      </c>
      <c r="X66" s="38">
        <f>IFERROR(s_RadSpec!$K$17*X17,".")*$B$66</f>
        <v>3.7869281328636919E-9</v>
      </c>
      <c r="Y66" s="47">
        <f t="shared" si="71"/>
        <v>5.6503944470399366E-8</v>
      </c>
      <c r="Z66" s="47">
        <f t="shared" si="71"/>
        <v>7.3550461715041732E-9</v>
      </c>
      <c r="AA66" s="47">
        <f t="shared" si="71"/>
        <v>2.7189173240146257E-8</v>
      </c>
      <c r="AB66" s="47">
        <f t="shared" si="71"/>
        <v>4.5194919172349618E-8</v>
      </c>
      <c r="AC66" s="47">
        <f t="shared" si="71"/>
        <v>3.7869281328636919E-9</v>
      </c>
      <c r="AD66" s="30">
        <f t="shared" si="76"/>
        <v>18.723763472713259</v>
      </c>
      <c r="AE66" s="30">
        <f t="shared" si="76"/>
        <v>31256.35602460615</v>
      </c>
      <c r="AF66" s="30">
        <f t="shared" si="72"/>
        <v>18.712553930772593</v>
      </c>
      <c r="AG66" s="38">
        <f>IFERROR(s_RadSpec!$G$17*AG17,".")*$B$66</f>
        <v>2.6704033125000002E-6</v>
      </c>
      <c r="AH66" s="38">
        <f>IFERROR(s_RadSpec!$J$17*AH17,".")*$B$66</f>
        <v>1.599674637716507E-9</v>
      </c>
      <c r="AI66" s="47">
        <f t="shared" si="73"/>
        <v>2.6704033125000002E-6</v>
      </c>
      <c r="AJ66" s="47">
        <f t="shared" si="73"/>
        <v>1.599674637716507E-9</v>
      </c>
      <c r="AK66" s="47">
        <f t="shared" si="74"/>
        <v>2.6720029871377169E-6</v>
      </c>
    </row>
    <row r="67" spans="1:37" x14ac:dyDescent="0.25">
      <c r="A67" s="29" t="s">
        <v>309</v>
      </c>
      <c r="B67" s="34">
        <v>2.0000000000000001E-4</v>
      </c>
      <c r="C67" s="2"/>
      <c r="D67" s="30">
        <f>IFERROR(D5/$B53,0)</f>
        <v>0</v>
      </c>
      <c r="E67" s="30">
        <f>IFERROR(E5/$B53,0)</f>
        <v>0</v>
      </c>
      <c r="F67" s="30">
        <f>IFERROR(F5/$B53,0)</f>
        <v>0</v>
      </c>
      <c r="G67" s="30">
        <f t="shared" si="67"/>
        <v>0</v>
      </c>
      <c r="H67" s="38">
        <f>IFERROR(s_RadSpec!$I$5*H5,".")*$B$67</f>
        <v>0</v>
      </c>
      <c r="I67" s="38">
        <f>IFERROR(s_RadSpec!$G$5*I5,".")*$B$67</f>
        <v>0</v>
      </c>
      <c r="J67" s="38">
        <f>IFERROR(s_RadSpec!$F$5*J5,".")*$B$67</f>
        <v>0</v>
      </c>
      <c r="K67" s="47">
        <f t="shared" si="68"/>
        <v>0</v>
      </c>
      <c r="L67" s="47">
        <f t="shared" si="68"/>
        <v>0</v>
      </c>
      <c r="M67" s="47">
        <f t="shared" si="68"/>
        <v>0</v>
      </c>
      <c r="N67" s="47">
        <f t="shared" si="69"/>
        <v>0</v>
      </c>
      <c r="O67" s="30">
        <f t="shared" ref="O67:AE67" si="77">IFERROR(O5/$B53,0)</f>
        <v>0</v>
      </c>
      <c r="P67" s="30">
        <f t="shared" si="77"/>
        <v>0</v>
      </c>
      <c r="Q67" s="30">
        <f t="shared" si="77"/>
        <v>0</v>
      </c>
      <c r="R67" s="30">
        <f t="shared" si="77"/>
        <v>0</v>
      </c>
      <c r="S67" s="30">
        <f t="shared" si="77"/>
        <v>0</v>
      </c>
      <c r="T67" s="38">
        <f>IFERROR(s_RadSpec!$F$5*T5,".")*$B$67</f>
        <v>0</v>
      </c>
      <c r="U67" s="38">
        <f>IFERROR(s_RadSpec!$M$5*U5,".")*$B$67</f>
        <v>0</v>
      </c>
      <c r="V67" s="38">
        <f>IFERROR(s_RadSpec!$N$5*V5,".")*$B$67</f>
        <v>0</v>
      </c>
      <c r="W67" s="38">
        <f>IFERROR(s_RadSpec!$O$5*W5,".")*$B$67</f>
        <v>0</v>
      </c>
      <c r="X67" s="38">
        <f>IFERROR(s_RadSpec!$K$5*X5,".")*$B$67</f>
        <v>0</v>
      </c>
      <c r="Y67" s="47">
        <f t="shared" si="71"/>
        <v>0</v>
      </c>
      <c r="Z67" s="47">
        <f t="shared" si="71"/>
        <v>0</v>
      </c>
      <c r="AA67" s="47">
        <f t="shared" si="71"/>
        <v>0</v>
      </c>
      <c r="AB67" s="47">
        <f t="shared" si="71"/>
        <v>0</v>
      </c>
      <c r="AC67" s="47">
        <f t="shared" si="71"/>
        <v>0</v>
      </c>
      <c r="AD67" s="30">
        <f t="shared" si="77"/>
        <v>0</v>
      </c>
      <c r="AE67" s="30">
        <f t="shared" si="77"/>
        <v>5166920729113.499</v>
      </c>
      <c r="AF67" s="30">
        <f t="shared" si="72"/>
        <v>5166920729113.499</v>
      </c>
      <c r="AG67" s="38">
        <f>IFERROR(s_RadSpec!$G$5*AG5,".")*$B$67</f>
        <v>0</v>
      </c>
      <c r="AH67" s="38">
        <f>IFERROR(s_RadSpec!$J$5*AH5,".")*$B$67</f>
        <v>9.6769435068493164E-18</v>
      </c>
      <c r="AI67" s="47">
        <f t="shared" si="73"/>
        <v>0</v>
      </c>
      <c r="AJ67" s="47">
        <f t="shared" si="73"/>
        <v>9.6769435068493164E-18</v>
      </c>
      <c r="AK67" s="47">
        <f t="shared" si="74"/>
        <v>9.6769435068493164E-18</v>
      </c>
    </row>
    <row r="68" spans="1:37" x14ac:dyDescent="0.25">
      <c r="A68" s="29" t="s">
        <v>310</v>
      </c>
      <c r="B68" s="34">
        <v>0.99999979999999999</v>
      </c>
      <c r="C68" s="2"/>
      <c r="D68" s="30">
        <f>IFERROR(D9/$B54,0)</f>
        <v>2469349.6968874843</v>
      </c>
      <c r="E68" s="30">
        <f>IFERROR(E9/$B54,0)</f>
        <v>7301807.3575732186</v>
      </c>
      <c r="F68" s="30">
        <f>IFERROR(F9/$B54,0)</f>
        <v>44.255122316576696</v>
      </c>
      <c r="G68" s="30">
        <f t="shared" si="67"/>
        <v>44.254060988382037</v>
      </c>
      <c r="H68" s="38">
        <f>IFERROR(s_RadSpec!$I$9*H9,".")*$B$68</f>
        <v>2.0248245950349999E-11</v>
      </c>
      <c r="I68" s="38">
        <f>IFERROR(s_RadSpec!$G$9*I9,".")*$B$68</f>
        <v>6.8476197126922933E-12</v>
      </c>
      <c r="J68" s="38">
        <f>IFERROR(s_RadSpec!$F$9*J9,".")*$B$68</f>
        <v>1.1298127173240566E-6</v>
      </c>
      <c r="K68" s="47">
        <f t="shared" si="68"/>
        <v>2.0248245950349999E-11</v>
      </c>
      <c r="L68" s="47">
        <f t="shared" si="68"/>
        <v>6.8476197126922933E-12</v>
      </c>
      <c r="M68" s="47">
        <f t="shared" si="68"/>
        <v>1.1298127173240566E-6</v>
      </c>
      <c r="N68" s="47">
        <f t="shared" si="69"/>
        <v>1.1298398131897196E-6</v>
      </c>
      <c r="O68" s="30">
        <f t="shared" ref="O68:AE68" si="78">IFERROR(O9/$B54,0)</f>
        <v>44.255122316576696</v>
      </c>
      <c r="P68" s="30">
        <f t="shared" si="78"/>
        <v>501.88162256216765</v>
      </c>
      <c r="Q68" s="30">
        <f t="shared" si="78"/>
        <v>122.90438665006087</v>
      </c>
      <c r="R68" s="30">
        <f t="shared" si="78"/>
        <v>62.867489125449133</v>
      </c>
      <c r="S68" s="30">
        <f t="shared" si="78"/>
        <v>918.06627199311799</v>
      </c>
      <c r="T68" s="38">
        <f>IFERROR(s_RadSpec!$F$9*T9,".")*$B$68</f>
        <v>1.1298127173240566E-6</v>
      </c>
      <c r="U68" s="38">
        <f>IFERROR(s_RadSpec!$M$9*U9,".")*$B$68</f>
        <v>9.9625086379421171E-8</v>
      </c>
      <c r="V68" s="38">
        <f>IFERROR(s_RadSpec!$N$9*V9,".")*$B$68</f>
        <v>4.0682030448890607E-7</v>
      </c>
      <c r="W68" s="38">
        <f>IFERROR(s_RadSpec!$O$9*W9,".")*$B$68</f>
        <v>7.9532363540441938E-7</v>
      </c>
      <c r="X68" s="38">
        <f>IFERROR(s_RadSpec!$K$9*X9,".")*$B$68</f>
        <v>5.446229921011064E-8</v>
      </c>
      <c r="Y68" s="47">
        <f t="shared" si="71"/>
        <v>1.1298127173240566E-6</v>
      </c>
      <c r="Z68" s="47">
        <f t="shared" si="71"/>
        <v>9.9625086379421171E-8</v>
      </c>
      <c r="AA68" s="47">
        <f t="shared" si="71"/>
        <v>4.0682030448890607E-7</v>
      </c>
      <c r="AB68" s="47">
        <f t="shared" si="71"/>
        <v>7.9532363540441938E-7</v>
      </c>
      <c r="AC68" s="47">
        <f t="shared" si="71"/>
        <v>5.446229921011064E-8</v>
      </c>
      <c r="AD68" s="30">
        <f t="shared" si="78"/>
        <v>23.536338923213652</v>
      </c>
      <c r="AE68" s="30">
        <f t="shared" si="78"/>
        <v>4761.142566490169</v>
      </c>
      <c r="AF68" s="30">
        <f t="shared" si="72"/>
        <v>23.420561195834367</v>
      </c>
      <c r="AG68" s="38">
        <f>IFERROR(s_RadSpec!$G$9*AG9,".")*$B$68</f>
        <v>2.1243745751249998E-6</v>
      </c>
      <c r="AH68" s="38">
        <f>IFERROR(s_RadSpec!$J$9*AH9,".")*$B$68</f>
        <v>1.050168090993737E-8</v>
      </c>
      <c r="AI68" s="47">
        <f t="shared" si="73"/>
        <v>2.1243745751249998E-6</v>
      </c>
      <c r="AJ68" s="47">
        <f t="shared" si="73"/>
        <v>1.050168090993737E-8</v>
      </c>
      <c r="AK68" s="47">
        <f t="shared" si="74"/>
        <v>2.1348762560349371E-6</v>
      </c>
    </row>
    <row r="69" spans="1:37" x14ac:dyDescent="0.25">
      <c r="A69" s="29" t="s">
        <v>311</v>
      </c>
      <c r="B69" s="34">
        <v>1.9999999999999999E-7</v>
      </c>
      <c r="C69" s="2"/>
      <c r="D69" s="30">
        <f>IFERROR(D24/$B55,0)</f>
        <v>0</v>
      </c>
      <c r="E69" s="30">
        <f>IFERROR(E24/$B55,0)</f>
        <v>0</v>
      </c>
      <c r="F69" s="30">
        <f>IFERROR(F24/$B55,0)</f>
        <v>846972719794.2428</v>
      </c>
      <c r="G69" s="30">
        <f t="shared" si="67"/>
        <v>846972719794.2428</v>
      </c>
      <c r="H69" s="38">
        <f>IFERROR(s_RadSpec!$I$24*H24,".")*$B$69</f>
        <v>0</v>
      </c>
      <c r="I69" s="38">
        <f>IFERROR(s_RadSpec!$G$24*I24,".")*$B$69</f>
        <v>0</v>
      </c>
      <c r="J69" s="38">
        <f>IFERROR(s_RadSpec!$F$24*J24,".")*$B$69</f>
        <v>5.9033778575709779E-17</v>
      </c>
      <c r="K69" s="47">
        <f t="shared" si="68"/>
        <v>0</v>
      </c>
      <c r="L69" s="47">
        <f t="shared" si="68"/>
        <v>0</v>
      </c>
      <c r="M69" s="47">
        <f t="shared" si="68"/>
        <v>5.9033778575709779E-17</v>
      </c>
      <c r="N69" s="47">
        <f t="shared" si="69"/>
        <v>5.9033778575709779E-17</v>
      </c>
      <c r="O69" s="30">
        <f t="shared" ref="O69:AE69" si="79">IFERROR(O24/$B55,0)</f>
        <v>846972719794.2428</v>
      </c>
      <c r="P69" s="30">
        <f t="shared" si="79"/>
        <v>7461737971733.1943</v>
      </c>
      <c r="Q69" s="30">
        <f t="shared" si="79"/>
        <v>1871560953000.3779</v>
      </c>
      <c r="R69" s="30">
        <f t="shared" si="79"/>
        <v>1009857525649.389</v>
      </c>
      <c r="S69" s="30">
        <f t="shared" si="79"/>
        <v>12695005316192.193</v>
      </c>
      <c r="T69" s="38">
        <f>IFERROR(s_RadSpec!$F$24*T24,".")*$B$69</f>
        <v>5.9033778575709779E-17</v>
      </c>
      <c r="U69" s="38">
        <f>IFERROR(s_RadSpec!$M$24*U24,".")*$B$69</f>
        <v>6.7008517572463264E-18</v>
      </c>
      <c r="V69" s="38">
        <f>IFERROR(s_RadSpec!$N$24*V24,".")*$B$69</f>
        <v>2.6715667432494199E-17</v>
      </c>
      <c r="W69" s="38">
        <f>IFERROR(s_RadSpec!$O$24*W24,".")*$B$69</f>
        <v>4.9511934832438369E-17</v>
      </c>
      <c r="X69" s="38">
        <f>IFERROR(s_RadSpec!$K$24*X24,".")*$B$69</f>
        <v>3.9385568382729343E-18</v>
      </c>
      <c r="Y69" s="47">
        <f t="shared" si="71"/>
        <v>5.9033778575709779E-17</v>
      </c>
      <c r="Z69" s="47">
        <f t="shared" si="71"/>
        <v>6.7008517572463264E-18</v>
      </c>
      <c r="AA69" s="47">
        <f t="shared" si="71"/>
        <v>2.6715667432494199E-17</v>
      </c>
      <c r="AB69" s="47">
        <f t="shared" si="71"/>
        <v>4.9511934832438369E-17</v>
      </c>
      <c r="AC69" s="47">
        <f t="shared" si="71"/>
        <v>3.9385568382729343E-18</v>
      </c>
      <c r="AD69" s="30">
        <f t="shared" si="79"/>
        <v>0</v>
      </c>
      <c r="AE69" s="30">
        <f t="shared" si="79"/>
        <v>49965826830987.688</v>
      </c>
      <c r="AF69" s="30">
        <f t="shared" si="72"/>
        <v>49965826830987.695</v>
      </c>
      <c r="AG69" s="38">
        <f>IFERROR(s_RadSpec!$G$24*AG24,".")*$B$69</f>
        <v>0</v>
      </c>
      <c r="AH69" s="38">
        <f>IFERROR(s_RadSpec!$J$24*AH24,".")*$B$69</f>
        <v>1.0006839308219179E-18</v>
      </c>
      <c r="AI69" s="47">
        <f t="shared" si="73"/>
        <v>0</v>
      </c>
      <c r="AJ69" s="47">
        <f t="shared" si="73"/>
        <v>1.0006839308219179E-18</v>
      </c>
      <c r="AK69" s="47">
        <f t="shared" si="74"/>
        <v>1.0006839308219179E-18</v>
      </c>
    </row>
    <row r="70" spans="1:37" x14ac:dyDescent="0.25">
      <c r="A70" s="29" t="s">
        <v>312</v>
      </c>
      <c r="B70" s="34">
        <v>0.99979000004200003</v>
      </c>
      <c r="C70" s="2"/>
      <c r="D70" s="30">
        <f>IFERROR(D20/$B56,0)</f>
        <v>0</v>
      </c>
      <c r="E70" s="30">
        <f>IFERROR(E20/$B56,0)</f>
        <v>0</v>
      </c>
      <c r="F70" s="30">
        <f>IFERROR(F20/$B56,0)</f>
        <v>1166145.0025830334</v>
      </c>
      <c r="G70" s="30">
        <f t="shared" si="67"/>
        <v>1166145.0025830334</v>
      </c>
      <c r="H70" s="38">
        <f>IFERROR(s_RadSpec!$I$20*H20,".")*$B$70</f>
        <v>0</v>
      </c>
      <c r="I70" s="38">
        <f>IFERROR(s_RadSpec!$G$20*I20,".")*$B$70</f>
        <v>0</v>
      </c>
      <c r="J70" s="38">
        <f>IFERROR(s_RadSpec!$F$20*J20,".")*$B$70</f>
        <v>4.2876314600027481E-11</v>
      </c>
      <c r="K70" s="47">
        <f t="shared" si="68"/>
        <v>0</v>
      </c>
      <c r="L70" s="47">
        <f t="shared" si="68"/>
        <v>0</v>
      </c>
      <c r="M70" s="47">
        <f t="shared" si="68"/>
        <v>4.2876314600027481E-11</v>
      </c>
      <c r="N70" s="47">
        <f t="shared" si="69"/>
        <v>4.2876314600027481E-11</v>
      </c>
      <c r="O70" s="30">
        <f t="shared" ref="O70:AE70" si="80">IFERROR(O20/$B56,0)</f>
        <v>1166145.0025830334</v>
      </c>
      <c r="P70" s="30">
        <f t="shared" si="80"/>
        <v>11625566.311608367</v>
      </c>
      <c r="Q70" s="30">
        <f t="shared" si="80"/>
        <v>2885860.9767667647</v>
      </c>
      <c r="R70" s="30">
        <f t="shared" si="80"/>
        <v>1542793.0283396253</v>
      </c>
      <c r="S70" s="30">
        <f t="shared" si="80"/>
        <v>20332790.375113957</v>
      </c>
      <c r="T70" s="38">
        <f>IFERROR(s_RadSpec!$F$20*T20,".")*$B$70</f>
        <v>4.2876314600027481E-11</v>
      </c>
      <c r="U70" s="38">
        <f>IFERROR(s_RadSpec!$M$20*U20,".")*$B$70</f>
        <v>4.3008657522407301E-12</v>
      </c>
      <c r="V70" s="38">
        <f>IFERROR(s_RadSpec!$N$20*V20,".")*$B$70</f>
        <v>1.7325851939000396E-11</v>
      </c>
      <c r="W70" s="38">
        <f>IFERROR(s_RadSpec!$O$20*W20,".")*$B$70</f>
        <v>3.2408754176061244E-11</v>
      </c>
      <c r="X70" s="38">
        <f>IFERROR(s_RadSpec!$K$20*X20,".")*$B$70</f>
        <v>2.4590820579745333E-12</v>
      </c>
      <c r="Y70" s="47">
        <f t="shared" si="71"/>
        <v>4.2876314600027481E-11</v>
      </c>
      <c r="Z70" s="47">
        <f t="shared" si="71"/>
        <v>4.3008657522407301E-12</v>
      </c>
      <c r="AA70" s="47">
        <f t="shared" si="71"/>
        <v>1.7325851939000396E-11</v>
      </c>
      <c r="AB70" s="47">
        <f t="shared" si="71"/>
        <v>3.2408754176061244E-11</v>
      </c>
      <c r="AC70" s="47">
        <f t="shared" si="71"/>
        <v>2.4590820579745333E-12</v>
      </c>
      <c r="AD70" s="30">
        <f t="shared" si="80"/>
        <v>0</v>
      </c>
      <c r="AE70" s="30">
        <f t="shared" si="80"/>
        <v>89173437.038030326</v>
      </c>
      <c r="AF70" s="30">
        <f t="shared" si="72"/>
        <v>89173437.038030326</v>
      </c>
      <c r="AG70" s="38">
        <f>IFERROR(s_RadSpec!$G$20*AG20,".")*$B$70</f>
        <v>0</v>
      </c>
      <c r="AH70" s="38">
        <f>IFERROR(s_RadSpec!$J$20*AH20,".")*$B$70</f>
        <v>5.6070508955123276E-13</v>
      </c>
      <c r="AI70" s="47">
        <f t="shared" si="73"/>
        <v>0</v>
      </c>
      <c r="AJ70" s="47">
        <f t="shared" si="73"/>
        <v>5.6070508955123276E-13</v>
      </c>
      <c r="AK70" s="47">
        <f t="shared" si="74"/>
        <v>5.6070508955123276E-13</v>
      </c>
    </row>
    <row r="71" spans="1:37" x14ac:dyDescent="0.25">
      <c r="A71" s="29" t="s">
        <v>313</v>
      </c>
      <c r="B71" s="34">
        <v>2.0999995799999999E-4</v>
      </c>
      <c r="C71" s="2"/>
      <c r="D71" s="30">
        <f>IFERROR(D29/$B57,0)</f>
        <v>0</v>
      </c>
      <c r="E71" s="30">
        <f>IFERROR(E29/$B57,0)</f>
        <v>0</v>
      </c>
      <c r="F71" s="30">
        <f>IFERROR(F29/$B57,0)</f>
        <v>125389.43964246569</v>
      </c>
      <c r="G71" s="30">
        <f t="shared" si="67"/>
        <v>125389.43964246569</v>
      </c>
      <c r="H71" s="38">
        <f>IFERROR(s_RadSpec!$I$29*H29,".")*$B$71</f>
        <v>0</v>
      </c>
      <c r="I71" s="38">
        <f>IFERROR(s_RadSpec!$G$29*I29,".")*$B$71</f>
        <v>0</v>
      </c>
      <c r="J71" s="38">
        <f>IFERROR(s_RadSpec!$F$29*J29,".")*$B$71</f>
        <v>3.9875766366425729E-10</v>
      </c>
      <c r="K71" s="47">
        <f t="shared" si="68"/>
        <v>0</v>
      </c>
      <c r="L71" s="47">
        <f t="shared" si="68"/>
        <v>0</v>
      </c>
      <c r="M71" s="47">
        <f t="shared" si="68"/>
        <v>3.9875766366425729E-10</v>
      </c>
      <c r="N71" s="47">
        <f t="shared" si="69"/>
        <v>3.9875766366425729E-10</v>
      </c>
      <c r="O71" s="30">
        <f t="shared" ref="O71:AE71" si="81">IFERROR(O29/$B57,0)</f>
        <v>125389.43964246569</v>
      </c>
      <c r="P71" s="30">
        <f t="shared" si="81"/>
        <v>1352170.3879376804</v>
      </c>
      <c r="Q71" s="30">
        <f t="shared" si="81"/>
        <v>336263.24845264456</v>
      </c>
      <c r="R71" s="30">
        <f t="shared" si="81"/>
        <v>178706.17898053388</v>
      </c>
      <c r="S71" s="30">
        <f t="shared" si="81"/>
        <v>2508214.4478144916</v>
      </c>
      <c r="T71" s="38">
        <f>IFERROR(s_RadSpec!$F$29*T29,".")*$B$71</f>
        <v>3.9875766366425729E-10</v>
      </c>
      <c r="U71" s="38">
        <f>IFERROR(s_RadSpec!$M$29*U29,".")*$B$71</f>
        <v>3.6977588361670617E-11</v>
      </c>
      <c r="V71" s="38">
        <f>IFERROR(s_RadSpec!$N$29*V29,".")*$B$71</f>
        <v>1.4869302616352211E-10</v>
      </c>
      <c r="W71" s="38">
        <f>IFERROR(s_RadSpec!$O$29*W29,".")*$B$71</f>
        <v>2.7978887067719364E-10</v>
      </c>
      <c r="X71" s="38">
        <f>IFERROR(s_RadSpec!$K$29*X29,".")*$B$71</f>
        <v>1.9934499637208864E-11</v>
      </c>
      <c r="Y71" s="47">
        <f t="shared" si="71"/>
        <v>3.9875766366425729E-10</v>
      </c>
      <c r="Z71" s="47">
        <f t="shared" si="71"/>
        <v>3.6977588361670617E-11</v>
      </c>
      <c r="AA71" s="47">
        <f t="shared" si="71"/>
        <v>1.4869302616352211E-10</v>
      </c>
      <c r="AB71" s="47">
        <f t="shared" si="71"/>
        <v>2.7978887067719364E-10</v>
      </c>
      <c r="AC71" s="47">
        <f t="shared" si="71"/>
        <v>1.9934499637208864E-11</v>
      </c>
      <c r="AD71" s="30">
        <f t="shared" si="81"/>
        <v>0</v>
      </c>
      <c r="AE71" s="30">
        <f t="shared" si="81"/>
        <v>12255771.296490857</v>
      </c>
      <c r="AF71" s="30">
        <f t="shared" si="72"/>
        <v>12255771.296490857</v>
      </c>
      <c r="AG71" s="38">
        <f>IFERROR(s_RadSpec!$G$29*AG29,".")*$B$71</f>
        <v>0</v>
      </c>
      <c r="AH71" s="38">
        <f>IFERROR(s_RadSpec!$J$29*AH29,".")*$B$71</f>
        <v>4.0797105943316913E-12</v>
      </c>
      <c r="AI71" s="47">
        <f t="shared" si="73"/>
        <v>0</v>
      </c>
      <c r="AJ71" s="47">
        <f t="shared" si="73"/>
        <v>4.0797105943316913E-12</v>
      </c>
      <c r="AK71" s="47">
        <f t="shared" si="74"/>
        <v>4.0797105943316913E-12</v>
      </c>
    </row>
    <row r="72" spans="1:37" x14ac:dyDescent="0.25">
      <c r="A72" s="29" t="s">
        <v>314</v>
      </c>
      <c r="B72" s="34">
        <v>1</v>
      </c>
      <c r="C72" s="2"/>
      <c r="D72" s="30">
        <f>IFERROR(D16/$B58,0)</f>
        <v>606.6672733339401</v>
      </c>
      <c r="E72" s="30">
        <f>IFERROR(E16/$B58,0)</f>
        <v>28428.879509083727</v>
      </c>
      <c r="F72" s="30">
        <f>IFERROR(F16/$B58,0)</f>
        <v>6448095992.3567705</v>
      </c>
      <c r="G72" s="30">
        <f t="shared" si="67"/>
        <v>593.9915427181088</v>
      </c>
      <c r="H72" s="38">
        <f>IFERROR(s_RadSpec!$I$16*H16,".")*$B$72</f>
        <v>8.2417500000000003E-8</v>
      </c>
      <c r="I72" s="38">
        <f>IFERROR(s_RadSpec!$G$16*I16,".")*$B$72</f>
        <v>1.7587749100003667E-9</v>
      </c>
      <c r="J72" s="38">
        <f>IFERROR(s_RadSpec!$F$16*J16,".")*$B$72</f>
        <v>7.7542269934050845E-15</v>
      </c>
      <c r="K72" s="47">
        <f t="shared" si="68"/>
        <v>8.2417500000000003E-8</v>
      </c>
      <c r="L72" s="47">
        <f t="shared" si="68"/>
        <v>1.7587749100003667E-9</v>
      </c>
      <c r="M72" s="47">
        <f t="shared" si="68"/>
        <v>7.7542269934050845E-15</v>
      </c>
      <c r="N72" s="47">
        <f t="shared" si="69"/>
        <v>8.4176282664227358E-8</v>
      </c>
      <c r="O72" s="30">
        <f t="shared" ref="O72:AE72" si="82">IFERROR(O16/$B58,0)</f>
        <v>6448095992.3567705</v>
      </c>
      <c r="P72" s="30">
        <f t="shared" si="82"/>
        <v>17873129788.768269</v>
      </c>
      <c r="Q72" s="30">
        <f t="shared" si="82"/>
        <v>6975697339.4444866</v>
      </c>
      <c r="R72" s="30">
        <f t="shared" si="82"/>
        <v>6934445515.863081</v>
      </c>
      <c r="S72" s="30">
        <f t="shared" si="82"/>
        <v>231984196001.01425</v>
      </c>
      <c r="T72" s="38">
        <f>IFERROR(s_RadSpec!$F$16*T16,".")*$B$72</f>
        <v>7.7542269934050845E-15</v>
      </c>
      <c r="U72" s="38">
        <f>IFERROR(s_RadSpec!$M$16*U16,".")*$B$72</f>
        <v>2.7974954913280341E-15</v>
      </c>
      <c r="V72" s="38">
        <f>IFERROR(s_RadSpec!$N$16*V16,".")*$B$72</f>
        <v>7.1677421721369836E-15</v>
      </c>
      <c r="W72" s="38">
        <f>IFERROR(s_RadSpec!$O$16*W16,".")*$B$72</f>
        <v>7.2103818373972567E-15</v>
      </c>
      <c r="X72" s="38">
        <f>IFERROR(s_RadSpec!$K$16*X16,".")*$B$72</f>
        <v>2.1553192356164385E-16</v>
      </c>
      <c r="Y72" s="47">
        <f t="shared" si="71"/>
        <v>7.7542269934050845E-15</v>
      </c>
      <c r="Z72" s="47">
        <f t="shared" si="71"/>
        <v>2.7974954913280341E-15</v>
      </c>
      <c r="AA72" s="47">
        <f t="shared" si="71"/>
        <v>7.1677421721369836E-15</v>
      </c>
      <c r="AB72" s="47">
        <f t="shared" si="71"/>
        <v>7.2103818373972567E-15</v>
      </c>
      <c r="AC72" s="47">
        <f t="shared" si="71"/>
        <v>2.1553192356164385E-16</v>
      </c>
      <c r="AD72" s="30">
        <f t="shared" si="82"/>
        <v>9.1636455272818912E-2</v>
      </c>
      <c r="AE72" s="30">
        <f t="shared" si="82"/>
        <v>8095353.5459107636</v>
      </c>
      <c r="AF72" s="30">
        <f t="shared" si="72"/>
        <v>9.1636454235527603E-2</v>
      </c>
      <c r="AG72" s="38">
        <f>IFERROR(s_RadSpec!$G$16*AG16,".")*$B$72</f>
        <v>5.4563437499999994E-4</v>
      </c>
      <c r="AH72" s="38">
        <f>IFERROR(s_RadSpec!$J$16*AH16,".")*$B$72</f>
        <v>6.1763825034246576E-12</v>
      </c>
      <c r="AI72" s="47">
        <f t="shared" si="73"/>
        <v>5.4563437499999994E-4</v>
      </c>
      <c r="AJ72" s="47">
        <f t="shared" si="73"/>
        <v>6.1763825034246576E-12</v>
      </c>
      <c r="AK72" s="47">
        <f t="shared" si="74"/>
        <v>5.4563438117638248E-4</v>
      </c>
    </row>
    <row r="73" spans="1:37" x14ac:dyDescent="0.25">
      <c r="A73" s="29" t="s">
        <v>315</v>
      </c>
      <c r="B73" s="34">
        <v>1</v>
      </c>
      <c r="C73" s="2"/>
      <c r="D73" s="30">
        <f>IFERROR(D7/$B59,0)</f>
        <v>97307.028000097314</v>
      </c>
      <c r="E73" s="30">
        <f>IFERROR(E7/$B59,0)</f>
        <v>991543.84629243263</v>
      </c>
      <c r="F73" s="30">
        <f>IFERROR(F7/$B59,0)</f>
        <v>414862.24832298153</v>
      </c>
      <c r="G73" s="30">
        <f t="shared" si="67"/>
        <v>73015.527806688609</v>
      </c>
      <c r="H73" s="38">
        <f>IFERROR(s_RadSpec!$I$7*H7,".")*$B$73</f>
        <v>5.1383749999999998E-10</v>
      </c>
      <c r="I73" s="38">
        <f>IFERROR(s_RadSpec!$G$7*I7,".")*$B$73</f>
        <v>5.0426413503507021E-11</v>
      </c>
      <c r="J73" s="38">
        <f>IFERROR(s_RadSpec!$F$7*J7,".")*$B$73</f>
        <v>1.2052193276712334E-10</v>
      </c>
      <c r="K73" s="47">
        <f t="shared" si="68"/>
        <v>5.1383749999999998E-10</v>
      </c>
      <c r="L73" s="47">
        <f t="shared" si="68"/>
        <v>5.0426413503507021E-11</v>
      </c>
      <c r="M73" s="47">
        <f t="shared" si="68"/>
        <v>1.2052193276712334E-10</v>
      </c>
      <c r="N73" s="47">
        <f t="shared" si="69"/>
        <v>6.8478584627063035E-10</v>
      </c>
      <c r="O73" s="30">
        <f t="shared" ref="O73:AE73" si="83">IFERROR(O7/$B59,0)</f>
        <v>414862.24832298153</v>
      </c>
      <c r="P73" s="30">
        <f t="shared" si="83"/>
        <v>1913145.2505623538</v>
      </c>
      <c r="Q73" s="30">
        <f t="shared" si="83"/>
        <v>651118.27467156947</v>
      </c>
      <c r="R73" s="30">
        <f t="shared" si="83"/>
        <v>458338.58587608667</v>
      </c>
      <c r="S73" s="30">
        <f t="shared" si="83"/>
        <v>648138.56990222598</v>
      </c>
      <c r="T73" s="38">
        <f>IFERROR(s_RadSpec!$F$7*T7,".")*$B$73</f>
        <v>1.2052193276712334E-10</v>
      </c>
      <c r="U73" s="38">
        <f>IFERROR(s_RadSpec!$M$7*U7,".")*$B$73</f>
        <v>2.6134973277801519E-11</v>
      </c>
      <c r="V73" s="38">
        <f>IFERROR(s_RadSpec!$N$7*V7,".")*$B$73</f>
        <v>7.6790964015286622E-11</v>
      </c>
      <c r="W73" s="38">
        <f>IFERROR(s_RadSpec!$O$7*W7,".")*$B$73</f>
        <v>1.0908965891324206E-10</v>
      </c>
      <c r="X73" s="38">
        <f>IFERROR(s_RadSpec!$K$7*X7,".")*$B$73</f>
        <v>7.7143997166443401E-11</v>
      </c>
      <c r="Y73" s="47">
        <f t="shared" si="71"/>
        <v>1.2052193276712334E-10</v>
      </c>
      <c r="Z73" s="47">
        <f t="shared" si="71"/>
        <v>2.6134973277801519E-11</v>
      </c>
      <c r="AA73" s="47">
        <f t="shared" si="71"/>
        <v>7.6790964015286622E-11</v>
      </c>
      <c r="AB73" s="47">
        <f t="shared" si="71"/>
        <v>1.0908965891324206E-10</v>
      </c>
      <c r="AC73" s="47">
        <f t="shared" si="71"/>
        <v>7.7143997166443401E-11</v>
      </c>
      <c r="AD73" s="30">
        <f t="shared" si="83"/>
        <v>3.1961007570763673</v>
      </c>
      <c r="AE73" s="30">
        <f t="shared" si="83"/>
        <v>6022371.1809534831</v>
      </c>
      <c r="AF73" s="30">
        <f t="shared" si="72"/>
        <v>3.1960990608915387</v>
      </c>
      <c r="AG73" s="38">
        <f>IFERROR(s_RadSpec!$G$7*AG7,".")*$B$73</f>
        <v>1.5644062499999999E-5</v>
      </c>
      <c r="AH73" s="38">
        <f>IFERROR(s_RadSpec!$J$7*AH7,".")*$B$73</f>
        <v>8.3023776678082202E-12</v>
      </c>
      <c r="AI73" s="47">
        <f t="shared" si="73"/>
        <v>1.5644062499999999E-5</v>
      </c>
      <c r="AJ73" s="47">
        <f t="shared" si="73"/>
        <v>8.3023776678082202E-12</v>
      </c>
      <c r="AK73" s="47">
        <f t="shared" si="74"/>
        <v>1.5644070802377668E-5</v>
      </c>
    </row>
    <row r="74" spans="1:37" x14ac:dyDescent="0.25">
      <c r="A74" s="29" t="s">
        <v>316</v>
      </c>
      <c r="B74" s="36">
        <v>1.9000000000000001E-8</v>
      </c>
      <c r="C74" s="2"/>
      <c r="D74" s="30">
        <f>IFERROR(D12/$B60,0)</f>
        <v>0</v>
      </c>
      <c r="E74" s="30">
        <f>IFERROR(E12/$B60,0)</f>
        <v>0</v>
      </c>
      <c r="F74" s="30">
        <f>IFERROR(F12/$B60,0)</f>
        <v>97013151176.567902</v>
      </c>
      <c r="G74" s="30">
        <f t="shared" si="67"/>
        <v>97013151176.567902</v>
      </c>
      <c r="H74" s="38">
        <f>IFERROR(s_RadSpec!$I$12*H12,".")*$B$74</f>
        <v>0</v>
      </c>
      <c r="I74" s="38">
        <f>IFERROR(s_RadSpec!$G$12*I12,".")*$B$74</f>
        <v>0</v>
      </c>
      <c r="J74" s="38">
        <f>IFERROR(s_RadSpec!$F$12*J12,".")*$B$74</f>
        <v>5.1539404084501847E-16</v>
      </c>
      <c r="K74" s="47">
        <f t="shared" si="68"/>
        <v>0</v>
      </c>
      <c r="L74" s="47">
        <f t="shared" si="68"/>
        <v>0</v>
      </c>
      <c r="M74" s="47">
        <f t="shared" si="68"/>
        <v>5.1539404084501847E-16</v>
      </c>
      <c r="N74" s="47">
        <f t="shared" si="69"/>
        <v>5.1539404084501847E-16</v>
      </c>
      <c r="O74" s="30">
        <f t="shared" ref="O74:AE74" si="84">IFERROR(O12/$B60,0)</f>
        <v>97013151176.567902</v>
      </c>
      <c r="P74" s="30">
        <f t="shared" si="84"/>
        <v>765899187287.00232</v>
      </c>
      <c r="Q74" s="30">
        <f t="shared" si="84"/>
        <v>199111152425.24384</v>
      </c>
      <c r="R74" s="30">
        <f t="shared" si="84"/>
        <v>119227859591.87997</v>
      </c>
      <c r="S74" s="30">
        <f t="shared" si="84"/>
        <v>1299751964340.5007</v>
      </c>
      <c r="T74" s="38">
        <f>IFERROR(s_RadSpec!$F$12*T12,".")*$B$74</f>
        <v>5.1539404084501847E-16</v>
      </c>
      <c r="U74" s="38">
        <f>IFERROR(s_RadSpec!$M$12*U12,".")*$B$74</f>
        <v>6.5282743251252082E-17</v>
      </c>
      <c r="V74" s="38">
        <f>IFERROR(s_RadSpec!$N$12*V12,".")*$B$74</f>
        <v>2.5111601932379194E-16</v>
      </c>
      <c r="W74" s="38">
        <f>IFERROR(s_RadSpec!$O$12*W12,".")*$B$74</f>
        <v>4.1936507265291265E-16</v>
      </c>
      <c r="X74" s="38">
        <f>IFERROR(s_RadSpec!$K$12*X12,".")*$B$74</f>
        <v>3.8468878195056393E-17</v>
      </c>
      <c r="Y74" s="47">
        <f t="shared" si="71"/>
        <v>5.1539404084501847E-16</v>
      </c>
      <c r="Z74" s="47">
        <f t="shared" si="71"/>
        <v>6.5282743251252082E-17</v>
      </c>
      <c r="AA74" s="47">
        <f t="shared" si="71"/>
        <v>2.5111601932379194E-16</v>
      </c>
      <c r="AB74" s="47">
        <f t="shared" si="71"/>
        <v>4.1936507265291265E-16</v>
      </c>
      <c r="AC74" s="47">
        <f t="shared" si="71"/>
        <v>3.8468878195056393E-17</v>
      </c>
      <c r="AD74" s="30">
        <f t="shared" si="84"/>
        <v>0</v>
      </c>
      <c r="AE74" s="30">
        <f t="shared" si="84"/>
        <v>3378494297178.8574</v>
      </c>
      <c r="AF74" s="30">
        <f t="shared" si="72"/>
        <v>3378494297178.8574</v>
      </c>
      <c r="AG74" s="38">
        <f>IFERROR(s_RadSpec!$G$12*AG12,".")*$B$74</f>
        <v>0</v>
      </c>
      <c r="AH74" s="38">
        <f>IFERROR(s_RadSpec!$J$12*AH12,".")*$B$74</f>
        <v>1.4799492200342468E-17</v>
      </c>
      <c r="AI74" s="47">
        <f t="shared" si="73"/>
        <v>0</v>
      </c>
      <c r="AJ74" s="47">
        <f t="shared" si="73"/>
        <v>1.4799492200342468E-17</v>
      </c>
      <c r="AK74" s="47">
        <f t="shared" si="74"/>
        <v>1.4799492200342468E-17</v>
      </c>
    </row>
    <row r="75" spans="1:37" x14ac:dyDescent="0.25">
      <c r="A75" s="29" t="s">
        <v>317</v>
      </c>
      <c r="B75" s="34">
        <v>1</v>
      </c>
      <c r="C75" s="2"/>
      <c r="D75" s="30">
        <f>IFERROR(D18/$B61,0)</f>
        <v>253.29922237138732</v>
      </c>
      <c r="E75" s="30">
        <f>IFERROR(E18/$B61,0)</f>
        <v>31112.217626012549</v>
      </c>
      <c r="F75" s="30">
        <f>IFERROR(F18/$B61,0)</f>
        <v>9934173.6458497494</v>
      </c>
      <c r="G75" s="30">
        <f t="shared" si="67"/>
        <v>251.24729353392138</v>
      </c>
      <c r="H75" s="38">
        <f>IFERROR(s_RadSpec!$I$18*H18,".")*$B$75</f>
        <v>1.97395E-7</v>
      </c>
      <c r="I75" s="38">
        <f>IFERROR(s_RadSpec!$G$18*I18,".")*$B$75</f>
        <v>1.6070856986483537E-9</v>
      </c>
      <c r="J75" s="38">
        <f>IFERROR(s_RadSpec!$F$18*J18,".")*$B$75</f>
        <v>5.0331312681340898E-12</v>
      </c>
      <c r="K75" s="47">
        <f t="shared" si="68"/>
        <v>1.97395E-7</v>
      </c>
      <c r="L75" s="47">
        <f t="shared" si="68"/>
        <v>1.6070856986483537E-9</v>
      </c>
      <c r="M75" s="47">
        <f t="shared" si="68"/>
        <v>5.0331312681340898E-12</v>
      </c>
      <c r="N75" s="47">
        <f t="shared" si="69"/>
        <v>1.9900711882991648E-7</v>
      </c>
      <c r="O75" s="30">
        <f t="shared" ref="O75:AE75" si="85">IFERROR(O18/$B61,0)</f>
        <v>9934173.6458497494</v>
      </c>
      <c r="P75" s="30">
        <f t="shared" si="85"/>
        <v>99002382.388733715</v>
      </c>
      <c r="Q75" s="30">
        <f t="shared" si="85"/>
        <v>24418761.400580149</v>
      </c>
      <c r="R75" s="30">
        <f t="shared" si="85"/>
        <v>12986281.234334793</v>
      </c>
      <c r="S75" s="30">
        <f t="shared" si="85"/>
        <v>173119853.03018382</v>
      </c>
      <c r="T75" s="38">
        <f>IFERROR(s_RadSpec!$F$18*T18,".")*$B$75</f>
        <v>5.0331312681340898E-12</v>
      </c>
      <c r="U75" s="38">
        <f>IFERROR(s_RadSpec!$M$18*U18,".")*$B$75</f>
        <v>5.0503835153859814E-13</v>
      </c>
      <c r="V75" s="38">
        <f>IFERROR(s_RadSpec!$N$18*V18,".")*$B$75</f>
        <v>2.0476059035005803E-12</v>
      </c>
      <c r="W75" s="38">
        <f>IFERROR(s_RadSpec!$O$18*W18,".")*$B$75</f>
        <v>3.8502169403049424E-12</v>
      </c>
      <c r="X75" s="38">
        <f>IFERROR(s_RadSpec!$K$18*X18,".")*$B$75</f>
        <v>2.8881725073601122E-13</v>
      </c>
      <c r="Y75" s="47">
        <f t="shared" si="71"/>
        <v>5.0331312681340898E-12</v>
      </c>
      <c r="Z75" s="47">
        <f t="shared" si="71"/>
        <v>5.0503835153859814E-13</v>
      </c>
      <c r="AA75" s="47">
        <f t="shared" si="71"/>
        <v>2.0476059035005803E-12</v>
      </c>
      <c r="AB75" s="47">
        <f t="shared" si="71"/>
        <v>3.8502169403049424E-12</v>
      </c>
      <c r="AC75" s="47">
        <f t="shared" si="71"/>
        <v>2.8881725073601122E-13</v>
      </c>
      <c r="AD75" s="30">
        <f t="shared" si="85"/>
        <v>0.10028581457152887</v>
      </c>
      <c r="AE75" s="30">
        <f t="shared" si="85"/>
        <v>762048643.84690726</v>
      </c>
      <c r="AF75" s="30">
        <f t="shared" si="72"/>
        <v>0.10028581455833123</v>
      </c>
      <c r="AG75" s="38">
        <f>IFERROR(s_RadSpec!$G$18*AG18,".")*$B$75</f>
        <v>4.9857500000000002E-4</v>
      </c>
      <c r="AH75" s="38">
        <f>IFERROR(s_RadSpec!$J$18*AH18,".")*$B$75</f>
        <v>6.5612609383561654E-14</v>
      </c>
      <c r="AI75" s="47">
        <f t="shared" si="73"/>
        <v>4.9857500000000002E-4</v>
      </c>
      <c r="AJ75" s="47">
        <f t="shared" si="73"/>
        <v>6.5612609383561654E-14</v>
      </c>
      <c r="AK75" s="47">
        <f t="shared" si="74"/>
        <v>4.9857500006561268E-4</v>
      </c>
    </row>
    <row r="76" spans="1:37" x14ac:dyDescent="0.25">
      <c r="A76" s="29" t="s">
        <v>318</v>
      </c>
      <c r="B76" s="34">
        <v>1.339E-6</v>
      </c>
      <c r="C76" s="2"/>
      <c r="D76" s="30">
        <f>IFERROR(D27/$B62,0)</f>
        <v>0</v>
      </c>
      <c r="E76" s="30">
        <f>IFERROR(E27/$B62,0)</f>
        <v>0</v>
      </c>
      <c r="F76" s="30">
        <f>IFERROR(F27/$B62,0)</f>
        <v>89862207057.034271</v>
      </c>
      <c r="G76" s="30">
        <f t="shared" si="67"/>
        <v>89862207057.034271</v>
      </c>
      <c r="H76" s="38">
        <f>IFERROR(s_RadSpec!$I$27*H27,".")*$B$76</f>
        <v>0</v>
      </c>
      <c r="I76" s="38">
        <f>IFERROR(s_RadSpec!$G$27*I27,".")*$B$76</f>
        <v>0</v>
      </c>
      <c r="J76" s="38">
        <f>IFERROR(s_RadSpec!$F$27*J27,".")*$B$76</f>
        <v>5.5640743353060227E-16</v>
      </c>
      <c r="K76" s="47">
        <f t="shared" si="68"/>
        <v>0</v>
      </c>
      <c r="L76" s="47">
        <f t="shared" si="68"/>
        <v>0</v>
      </c>
      <c r="M76" s="47">
        <f t="shared" si="68"/>
        <v>5.5640743353060227E-16</v>
      </c>
      <c r="N76" s="47">
        <f t="shared" si="69"/>
        <v>5.5640743353060227E-16</v>
      </c>
      <c r="O76" s="30">
        <f t="shared" ref="O76:AE76" si="86">IFERROR(O27/$B62,0)</f>
        <v>89862207057.034271</v>
      </c>
      <c r="P76" s="30">
        <f t="shared" si="86"/>
        <v>784931818147.58569</v>
      </c>
      <c r="Q76" s="30">
        <f t="shared" si="86"/>
        <v>226337573610.90256</v>
      </c>
      <c r="R76" s="30">
        <f t="shared" si="86"/>
        <v>123849671510.83743</v>
      </c>
      <c r="S76" s="30">
        <f t="shared" si="86"/>
        <v>594077551400.83191</v>
      </c>
      <c r="T76" s="38">
        <f>IFERROR(s_RadSpec!$F$27*T27,".")*$B$76</f>
        <v>5.5640743353060227E-16</v>
      </c>
      <c r="U76" s="38">
        <f>IFERROR(s_RadSpec!$M$27*U27,".")*$B$76</f>
        <v>6.3699800217041067E-17</v>
      </c>
      <c r="V76" s="38">
        <f>IFERROR(s_RadSpec!$N$27*V27,".")*$B$76</f>
        <v>2.2090896885708929E-16</v>
      </c>
      <c r="W76" s="38">
        <f>IFERROR(s_RadSpec!$O$27*W27,".")*$B$76</f>
        <v>4.037152411472062E-16</v>
      </c>
      <c r="X76" s="38">
        <f>IFERROR(s_RadSpec!$K$27*X27,".")*$B$76</f>
        <v>8.4164095886303492E-17</v>
      </c>
      <c r="Y76" s="47">
        <f t="shared" si="71"/>
        <v>5.5640743353060227E-16</v>
      </c>
      <c r="Z76" s="47">
        <f t="shared" si="71"/>
        <v>6.3699800217041067E-17</v>
      </c>
      <c r="AA76" s="47">
        <f t="shared" si="71"/>
        <v>2.2090896885708929E-16</v>
      </c>
      <c r="AB76" s="47">
        <f t="shared" si="71"/>
        <v>4.037152411472062E-16</v>
      </c>
      <c r="AC76" s="47">
        <f t="shared" si="71"/>
        <v>8.4164095886303492E-17</v>
      </c>
      <c r="AD76" s="30">
        <f t="shared" si="86"/>
        <v>0</v>
      </c>
      <c r="AE76" s="30">
        <f t="shared" si="86"/>
        <v>2530983207985.8687</v>
      </c>
      <c r="AF76" s="30">
        <f t="shared" si="72"/>
        <v>2530983207985.8687</v>
      </c>
      <c r="AG76" s="38">
        <f>IFERROR(s_RadSpec!$G$27*AG27,".")*$B$76</f>
        <v>0</v>
      </c>
      <c r="AH76" s="38">
        <f>IFERROR(s_RadSpec!$J$27*AH27,".")*$B$76</f>
        <v>1.9755168600976031E-17</v>
      </c>
      <c r="AI76" s="47">
        <f t="shared" si="73"/>
        <v>0</v>
      </c>
      <c r="AJ76" s="47">
        <f t="shared" si="73"/>
        <v>1.9755168600976031E-17</v>
      </c>
      <c r="AK76" s="47">
        <f t="shared" si="74"/>
        <v>1.9755168600976031E-17</v>
      </c>
    </row>
  </sheetData>
  <sheetProtection algorithmName="SHA-512" hashValue="duXbvoHpwYxbGmQ0Vovw+pEG7RcsaHZeBs/5L7l9+taO/rRiRGOR6wQ8wHS4S0x8ys9C/RG2HgcH5EIp1N0unA==" saltValue="PjtoajfYn11FuGBOQMaN7g==" spinCount="100000" sheet="1" objects="1" scenarios="1" formatColumns="0" formatRows="0" autoFilter="0"/>
  <autoFilter ref="A1:Z76" xr:uid="{00000000-0009-0000-0000-000006000000}"/>
  <pageMargins left="0.7" right="0.7" top="0.75" bottom="0.75" header="0.3" footer="0.3"/>
  <pageSetup orientation="portrait" horizontalDpi="1200" verticalDpi="12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2">
    <tabColor theme="9" tint="-0.499984740745262"/>
  </sheetPr>
  <dimension ref="A1:AK76"/>
  <sheetViews>
    <sheetView zoomScale="90" zoomScaleNormal="90" workbookViewId="0">
      <pane xSplit="2" ySplit="1" topLeftCell="C2" activePane="bottomRight" state="frozen"/>
      <selection activeCell="AA1390" sqref="AA1390"/>
      <selection pane="topRight" activeCell="AA1390" sqref="AA1390"/>
      <selection pane="bottomLeft" activeCell="AA1390" sqref="AA1390"/>
      <selection pane="bottomRight" activeCell="C2" sqref="C2"/>
    </sheetView>
  </sheetViews>
  <sheetFormatPr defaultColWidth="9.140625" defaultRowHeight="15" x14ac:dyDescent="0.25"/>
  <cols>
    <col min="1" max="1" width="15.42578125" style="3" customWidth="1"/>
    <col min="2" max="2" width="13.28515625" style="3" bestFit="1" customWidth="1"/>
    <col min="3" max="3" width="13.28515625" style="3" customWidth="1"/>
    <col min="4" max="4" width="14.42578125" style="2" bestFit="1" customWidth="1"/>
    <col min="5" max="5" width="14.5703125" style="2" bestFit="1" customWidth="1"/>
    <col min="6" max="6" width="14.28515625" style="2" bestFit="1" customWidth="1"/>
    <col min="7" max="9" width="14.140625" style="2" bestFit="1" customWidth="1"/>
    <col min="10" max="10" width="14" style="2" bestFit="1" customWidth="1"/>
    <col min="11" max="12" width="14.5703125" style="2" bestFit="1" customWidth="1"/>
    <col min="13" max="13" width="14.42578125" style="2" bestFit="1" customWidth="1"/>
    <col min="14" max="14" width="14.28515625" style="2" bestFit="1" customWidth="1"/>
    <col min="15" max="15" width="13.5703125" style="2" bestFit="1" customWidth="1"/>
    <col min="16" max="17" width="15.42578125" style="2" bestFit="1" customWidth="1"/>
    <col min="18" max="18" width="16.42578125" style="2" bestFit="1" customWidth="1"/>
    <col min="19" max="19" width="13.85546875" style="2" bestFit="1" customWidth="1"/>
    <col min="20" max="20" width="13.140625" style="2" bestFit="1" customWidth="1"/>
    <col min="21" max="22" width="14.85546875" style="2" bestFit="1" customWidth="1"/>
    <col min="23" max="23" width="16" style="2" bestFit="1" customWidth="1"/>
    <col min="24" max="25" width="13.5703125" style="2" bestFit="1" customWidth="1"/>
    <col min="26" max="26" width="15.42578125" style="2" bestFit="1" customWidth="1"/>
    <col min="27" max="27" width="13" style="2" bestFit="1" customWidth="1"/>
    <col min="28" max="28" width="14.140625" style="2" bestFit="1" customWidth="1"/>
    <col min="29" max="29" width="11.7109375" style="2" bestFit="1" customWidth="1"/>
    <col min="30" max="30" width="11.28515625" style="2" bestFit="1" customWidth="1"/>
    <col min="31" max="31" width="11.5703125" style="2" bestFit="1" customWidth="1"/>
    <col min="32" max="32" width="10.7109375" style="2" bestFit="1" customWidth="1"/>
    <col min="33" max="33" width="11" style="2" bestFit="1" customWidth="1"/>
    <col min="34" max="34" width="11.42578125" style="2" bestFit="1" customWidth="1"/>
    <col min="35" max="35" width="11.5703125" style="2" bestFit="1" customWidth="1"/>
    <col min="36" max="36" width="12" style="2" bestFit="1" customWidth="1"/>
    <col min="37" max="37" width="11.42578125" style="2" bestFit="1" customWidth="1"/>
    <col min="38" max="16384" width="9.140625" style="2"/>
  </cols>
  <sheetData>
    <row r="1" spans="1:37" x14ac:dyDescent="0.25">
      <c r="A1" s="21" t="s">
        <v>51</v>
      </c>
      <c r="B1" s="21" t="s">
        <v>274</v>
      </c>
      <c r="C1" s="108"/>
      <c r="D1" s="22" t="s">
        <v>341</v>
      </c>
      <c r="E1" s="22" t="s">
        <v>342</v>
      </c>
      <c r="F1" s="22" t="s">
        <v>343</v>
      </c>
      <c r="G1" s="22" t="s">
        <v>344</v>
      </c>
      <c r="H1" s="39" t="s">
        <v>353</v>
      </c>
      <c r="I1" s="39" t="s">
        <v>354</v>
      </c>
      <c r="J1" s="39" t="s">
        <v>355</v>
      </c>
      <c r="K1" s="40" t="s">
        <v>356</v>
      </c>
      <c r="L1" s="40" t="s">
        <v>357</v>
      </c>
      <c r="M1" s="40" t="s">
        <v>358</v>
      </c>
      <c r="N1" s="40" t="s">
        <v>359</v>
      </c>
      <c r="O1" s="22" t="s">
        <v>345</v>
      </c>
      <c r="P1" s="24" t="s">
        <v>346</v>
      </c>
      <c r="Q1" s="24" t="s">
        <v>347</v>
      </c>
      <c r="R1" s="24" t="s">
        <v>348</v>
      </c>
      <c r="S1" s="24" t="s">
        <v>349</v>
      </c>
      <c r="T1" s="41" t="s">
        <v>371</v>
      </c>
      <c r="U1" s="41" t="s">
        <v>372</v>
      </c>
      <c r="V1" s="41" t="s">
        <v>373</v>
      </c>
      <c r="W1" s="41" t="s">
        <v>374</v>
      </c>
      <c r="X1" s="41" t="s">
        <v>375</v>
      </c>
      <c r="Y1" s="42" t="s">
        <v>376</v>
      </c>
      <c r="Z1" s="42" t="s">
        <v>377</v>
      </c>
      <c r="AA1" s="42" t="s">
        <v>378</v>
      </c>
      <c r="AB1" s="42" t="s">
        <v>379</v>
      </c>
      <c r="AC1" s="42" t="s">
        <v>380</v>
      </c>
      <c r="AD1" s="24" t="s">
        <v>350</v>
      </c>
      <c r="AE1" s="24" t="s">
        <v>351</v>
      </c>
      <c r="AF1" s="24" t="s">
        <v>352</v>
      </c>
      <c r="AG1" s="41" t="s">
        <v>381</v>
      </c>
      <c r="AH1" s="41" t="s">
        <v>382</v>
      </c>
      <c r="AI1" s="42" t="s">
        <v>383</v>
      </c>
      <c r="AJ1" s="42" t="s">
        <v>384</v>
      </c>
      <c r="AK1" s="42" t="s">
        <v>385</v>
      </c>
    </row>
    <row r="2" spans="1:37" x14ac:dyDescent="0.25">
      <c r="A2" s="23" t="s">
        <v>12</v>
      </c>
      <c r="B2" s="24" t="s">
        <v>289</v>
      </c>
      <c r="C2" s="2"/>
      <c r="D2" s="22">
        <f>IFERROR((s_TR/(s_RadSpec!I2*s_EF_ow*s_ED_out*s_IRS_ow*(1/1000)))*1,".")</f>
        <v>4027.8728803318968</v>
      </c>
      <c r="E2" s="22">
        <f>IFERROR(IF(A2="H-3",(s_TR/(s_RadSpec!G2*s_EF_ow*s_ED_out*(s_ET_ow_o+s_ET_ow_i)*(1/24)*s_IRA_ow*(1/17)*1000))*1,(s_TR/(s_RadSpec!G2*s_EF_ow*s_ED_out*(s_ET_ow_o+s_ET_ow_i)*(1/24)*s_IRA_ow*(1/s_PEF_wind)*1000))*1),".")</f>
        <v>15797.913613208446</v>
      </c>
      <c r="F2" s="22">
        <f>IFERROR((s_TR/(s_RadSpec!F2*s_EF_ow*(1/365)*s_ED_out*s_RadSpec!Q2*(s_ET_ow_o+s_ET_ow_i)*(1/24)*s_RadSpec!V2))*1,".")</f>
        <v>20512.286804300216</v>
      </c>
      <c r="G2" s="22">
        <f t="shared" ref="G2:G30" si="0">(IF(AND(ISNUMBER(D2),ISNUMBER(E2),ISNUMBER(F2)),1/((1/D2)+(1/E2)+(1/F2)),IF(AND(ISNUMBER(D2),ISNUMBER(E2),NOT(ISNUMBER(F2))), 1/((1/D2)+(1/E2)),IF(AND(ISNUMBER(D2),NOT(ISNUMBER(E2)),ISNUMBER(F2)),1/((1/D2)+(1/F2)),IF(AND(NOT(ISNUMBER(D2)),ISNUMBER(E2),ISNUMBER(F2)),1/((1/E2)+(1/F2)),IF(AND(ISNUMBER(D2),NOT(ISNUMBER(E2)),NOT(ISNUMBER(F2))),1/((1/D2)),IF(AND(NOT(ISNUMBER(D2)),NOT(ISNUMBER(E2)),ISNUMBER(F2)),1/((1/F2)),IF(AND(NOT(ISNUMBER(D2)),ISNUMBER(E2),NOT(ISNUMBER(F2))),1/((1/E2)),IF(AND(NOT(ISNUMBER(D2)),NOT(ISNUMBER(E2)),NOT(ISNUMBER(F2))),".")))))))))</f>
        <v>2775.3049321221679</v>
      </c>
      <c r="H2" s="43">
        <f t="shared" ref="H2:H30" si="1">s_C*s_EF_ow*s_ED_out*s_IRS_ow*(1/1000)*1</f>
        <v>137.5</v>
      </c>
      <c r="I2" s="43">
        <f t="shared" ref="I2:I30" si="2">s_C*s_EF_ow*s_ED_out*(s_ET_ow_o+s_ET_ow_i)*(1/24)*s_IRA_ow*(1/s_PEF_wind)*1000*1</f>
        <v>0.11080293013295324</v>
      </c>
      <c r="J2" s="43">
        <f>s_C*s_EF_ow*(1/365)*s_ED_out*(s_ET_ow_o+s_ET_ow_i)*(1/24)*s_RadSpec!V2*s_RadSpec!Q2*1</f>
        <v>5.9139211196916189E-2</v>
      </c>
      <c r="K2" s="11"/>
      <c r="L2" s="11"/>
      <c r="M2" s="11"/>
      <c r="N2" s="11"/>
      <c r="O2" s="22">
        <f>IFERROR((s_TR/(s_RadSpec!F2*s_EF_ow*(1/365)*s_ED_out*s_RadSpec!Q2*(s_ET_ow_o+s_ET_ow_i)*(1/24)*s_RadSpec!V2))*1,".")</f>
        <v>20512.286804300216</v>
      </c>
      <c r="P2" s="22">
        <f>IFERROR((s_TR/(s_RadSpec!M2*s_EF_ow*(1/365)*s_ED_out*s_RadSpec!R2*(s_ET_ow_o+s_ET_ow_i)*(1/24)*s_RadSpec!W2))*1,".")</f>
        <v>148063.41488526075</v>
      </c>
      <c r="Q2" s="22">
        <f>IFERROR((s_TR/(s_RadSpec!N2*s_EF_ow*(1/365)*s_ED_out*s_RadSpec!S2*(s_ET_ow_o+s_ET_ow_i)*(1/24)*s_RadSpec!X2))*1,".")</f>
        <v>38842.447303557659</v>
      </c>
      <c r="R2" s="22">
        <f>IFERROR((s_TR/(s_RadSpec!O2*s_EF_ow*(1/365)*s_ED_out*s_RadSpec!T2*(s_ET_ow_o+s_ET_ow_i)*(1/24)*s_RadSpec!Y2))*1,".")</f>
        <v>24027.280902312828</v>
      </c>
      <c r="S2" s="22">
        <f>IFERROR((s_TR/(s_RadSpec!K2*s_EF_ow*(1/365)*s_ED_out*s_RadSpec!P2*(s_ET_ow_o+s_ET_ow_i)*(1/24)*s_RadSpec!U2))*1,".")</f>
        <v>1124806.135978875</v>
      </c>
      <c r="T2" s="43">
        <f>s_C*s_EF_ow*(1/365)*s_ED_out*(s_ET_ow_o+s_ET_ow_i)*(1/24)*s_RadSpec!V2*s_RadSpec!Q2*1</f>
        <v>5.9139211196916189E-2</v>
      </c>
      <c r="U2" s="43">
        <f>s_C*s_EF_ow*(1/365)*s_ED_out*(s_ET_ow_o+s_ET_ow_i)*(1/24)*s_RadSpec!W2*s_RadSpec!R2*1</f>
        <v>2.9248802762000235E-2</v>
      </c>
      <c r="V2" s="43">
        <f>s_C*s_EF_ow*(1/365)*s_ED_out*(s_ET_ow_o+s_ET_ow_i)*(1/24)*s_RadSpec!X2*s_RadSpec!S2*1</f>
        <v>4.3064336728720308E-2</v>
      </c>
      <c r="W2" s="43">
        <f>s_C*s_EF_ow*(1/365)*s_ED_out*(s_ET_ow_o+s_ET_ow_i)*(1/24)*s_RadSpec!Y2*s_RadSpec!T2*1</f>
        <v>5.1808527012467305E-2</v>
      </c>
      <c r="X2" s="43">
        <f>s_C*s_EF_ow*(1/365)*s_ED_out*(s_ET_ow_o+s_ET_ow_i)*(1/24)*s_RadSpec!U2*s_RadSpec!P2*1</f>
        <v>3.6961485010919195E-3</v>
      </c>
      <c r="Y2" s="11"/>
      <c r="Z2" s="11"/>
      <c r="AA2" s="11"/>
      <c r="AB2" s="11"/>
      <c r="AC2" s="11"/>
      <c r="AD2" s="22">
        <f>IFERROR(s_TR/(s_RadSpec!G2*s_EF_ow*s_ED_out*(s_ET_ow_o+s_ET_ow_i)*(1/24)*s_IRA_ow),".")</f>
        <v>5.092233071507684E-2</v>
      </c>
      <c r="AE2" s="22">
        <f>IFERROR(s_TR/(s_RadSpec!J2*s_EF_ow*(1/365)*s_ED_out*(s_ET_ow_o+s_ET_ow_i)*(1/24)*s_GSF_a),".")</f>
        <v>618624.52266937145</v>
      </c>
      <c r="AF2" s="22">
        <f t="shared" ref="AF2" si="3">IFERROR(IF(AND(ISNUMBER(AD2),ISNUMBER(AE2)),1/((1/AD2)+(1/AE2)),IF(AND(ISNUMBER(AD2),NOT(ISNUMBER(AE2))),1/((1/AD2)),IF(AND(NOT(ISNUMBER(AD2)),ISNUMBER(AE2)),1/((1/AE2)),IF(AND(NOT(ISNUMBER(AD2)),NOT(ISNUMBER(AE2))),".")))),".")</f>
        <v>5.0922326523384694E-2</v>
      </c>
      <c r="AG2" s="43">
        <f t="shared" ref="AG2:AG30" si="4">s_C*s_EF_ow*s_ED_out*(s_ET_ow_o+s_ET_ow_i)*(1/24)*s_IRA_ow*1</f>
        <v>34375</v>
      </c>
      <c r="AH2" s="43">
        <f t="shared" ref="AH2:AH30" si="5">s_C*s_EF_ow*(1/365)*s_ED_out*(s_ET_ow_o+s_ET_ow_i)*(1/24)*s_GSF_a*1</f>
        <v>1.5696347031963471</v>
      </c>
      <c r="AI2" s="11"/>
      <c r="AJ2" s="11"/>
      <c r="AK2" s="11"/>
    </row>
    <row r="3" spans="1:37" x14ac:dyDescent="0.25">
      <c r="A3" s="25" t="s">
        <v>13</v>
      </c>
      <c r="B3" s="24" t="s">
        <v>275</v>
      </c>
      <c r="C3" s="2"/>
      <c r="D3" s="22">
        <f>IFERROR((s_TR/(s_RadSpec!I3*s_EF_ow*s_ED_out*s_IRS_ow*(1/1000)))*1,".")</f>
        <v>3995.1259463454585</v>
      </c>
      <c r="E3" s="22">
        <f>IFERROR(IF(A3="H-3",(s_TR/(s_RadSpec!G3*s_EF_ow*s_ED_out*(s_ET_ow_o+s_ET_ow_i)*(1/24)*s_IRA_ow*(1/17)*1000))*1,(s_TR/(s_RadSpec!G3*s_EF_ow*s_ED_out*(s_ET_ow_o+s_ET_ow_i)*(1/24)*s_IRA_ow*(1/s_PEF_wind)*1000))*1),".")</f>
        <v>11956.85226411463</v>
      </c>
      <c r="F3" s="22">
        <f>IFERROR((s_TR/(s_RadSpec!F3*s_EF_ow*(1/365)*s_ED_out*s_RadSpec!Q3*(s_ET_ow_o+s_ET_ow_i)*(1/24)*s_RadSpec!V3))*1,".")</f>
        <v>4008334.5258403104</v>
      </c>
      <c r="G3" s="22">
        <f t="shared" si="0"/>
        <v>2992.3229097518374</v>
      </c>
      <c r="H3" s="43">
        <f t="shared" si="1"/>
        <v>137.5</v>
      </c>
      <c r="I3" s="43">
        <f t="shared" si="2"/>
        <v>0.11080293013295324</v>
      </c>
      <c r="J3" s="43">
        <f>s_C*s_EF_ow*(1/365)*s_ED_out*(s_ET_ow_o+s_ET_ow_i)*(1/24)*s_RadSpec!V3*s_RadSpec!Q3*1</f>
        <v>4.5076688912305335E-4</v>
      </c>
      <c r="K3" s="4"/>
      <c r="L3" s="4"/>
      <c r="M3" s="4"/>
      <c r="N3" s="4"/>
      <c r="O3" s="22">
        <f>IFERROR((s_TR/(s_RadSpec!F3*s_EF_ow*(1/365)*s_ED_out*s_RadSpec!Q3*(s_ET_ow_o+s_ET_ow_i)*(1/24)*s_RadSpec!V3))*1,".")</f>
        <v>4008334.5258403104</v>
      </c>
      <c r="P3" s="22">
        <f>IFERROR((s_TR/(s_RadSpec!M3*s_EF_ow*(1/365)*s_ED_out*s_RadSpec!R3*(s_ET_ow_o+s_ET_ow_i)*(1/24)*s_RadSpec!W3))*1,".")</f>
        <v>11307474.982238051</v>
      </c>
      <c r="Q3" s="22">
        <f>IFERROR((s_TR/(s_RadSpec!N3*s_EF_ow*(1/365)*s_ED_out*s_RadSpec!S3*(s_ET_ow_o+s_ET_ow_i)*(1/24)*s_RadSpec!X3))*1,".")</f>
        <v>4573649.5043918435</v>
      </c>
      <c r="R3" s="22">
        <f>IFERROR((s_TR/(s_RadSpec!O3*s_EF_ow*(1/365)*s_ED_out*s_RadSpec!T3*(s_ET_ow_o+s_ET_ow_i)*(1/24)*s_RadSpec!Y3))*1,".")</f>
        <v>4392333.1431488255</v>
      </c>
      <c r="S3" s="22">
        <f>IFERROR((s_TR/(s_RadSpec!K3*s_EF_ow*(1/365)*s_ED_out*s_RadSpec!P3*(s_ET_ow_o+s_ET_ow_i)*(1/24)*s_RadSpec!U3))*1,".")</f>
        <v>12907592.694386944</v>
      </c>
      <c r="T3" s="43">
        <f>s_C*s_EF_ow*(1/365)*s_ED_out*(s_ET_ow_o+s_ET_ow_i)*(1/24)*s_RadSpec!V3*s_RadSpec!Q3*1</f>
        <v>4.5076688912305335E-4</v>
      </c>
      <c r="U3" s="43">
        <f>s_C*s_EF_ow*(1/365)*s_ED_out*(s_ET_ow_o+s_ET_ow_i)*(1/24)*s_RadSpec!W3*s_RadSpec!R3*1</f>
        <v>3.2147957624042333E-4</v>
      </c>
      <c r="V3" s="43">
        <f>s_C*s_EF_ow*(1/365)*s_ED_out*(s_ET_ow_o+s_ET_ow_i)*(1/24)*s_RadSpec!X3*s_RadSpec!S3*1</f>
        <v>4.2403564369931164E-4</v>
      </c>
      <c r="W3" s="43">
        <f>s_C*s_EF_ow*(1/365)*s_ED_out*(s_ET_ow_o+s_ET_ow_i)*(1/24)*s_RadSpec!Y3*s_RadSpec!T3*1</f>
        <v>4.1135870752332526E-4</v>
      </c>
      <c r="X3" s="43">
        <f>s_C*s_EF_ow*(1/365)*s_ED_out*(s_ET_ow_o+s_ET_ow_i)*(1/24)*s_RadSpec!U3*s_RadSpec!P3*1</f>
        <v>2.073476310761358E-4</v>
      </c>
      <c r="Y3" s="11"/>
      <c r="Z3" s="11"/>
      <c r="AA3" s="11"/>
      <c r="AB3" s="11"/>
      <c r="AC3" s="11"/>
      <c r="AD3" s="22">
        <f>IFERROR(s_TR/(s_RadSpec!G3*s_EF_ow*s_ED_out*(s_ET_ow_o+s_ET_ow_i)*(1/24)*s_IRA_ow),".")</f>
        <v>3.8541215011803263E-2</v>
      </c>
      <c r="AE3" s="22">
        <f>IFERROR(s_TR/(s_RadSpec!J3*s_EF_ow*(1/365)*s_ED_out*(s_ET_ow_o+s_ET_ow_i)*(1/24)*s_GSF_a),".")</f>
        <v>548920.35110099148</v>
      </c>
      <c r="AF3" s="22">
        <f>IFERROR(IF(AND(ISNUMBER(AD3),ISNUMBER(AE3)),1/((1/AD3)+(1/AE3)),IF(AND(ISNUMBER(AD3),NOT(ISNUMBER(AE3))),1/((1/AD3)),IF(AND(NOT(ISNUMBER(AD3)),ISNUMBER(AE3)),1/((1/AE3)),IF(AND(NOT(ISNUMBER(AD3)),NOT(ISNUMBER(AE3))),".")))),".")</f>
        <v>3.854121230571822E-2</v>
      </c>
      <c r="AG3" s="43">
        <f t="shared" si="4"/>
        <v>34375</v>
      </c>
      <c r="AH3" s="43">
        <f t="shared" si="5"/>
        <v>1.5696347031963471</v>
      </c>
      <c r="AI3" s="10"/>
      <c r="AJ3" s="10"/>
      <c r="AK3" s="10"/>
    </row>
    <row r="4" spans="1:37" x14ac:dyDescent="0.25">
      <c r="A4" s="23" t="s">
        <v>14</v>
      </c>
      <c r="B4" s="24" t="s">
        <v>289</v>
      </c>
      <c r="C4" s="2"/>
      <c r="D4" s="22" t="str">
        <f>IFERROR((s_TR/(s_RadSpec!I4*s_EF_ow*s_ED_out*s_IRS_ow*(1/1000)))*1,".")</f>
        <v>.</v>
      </c>
      <c r="E4" s="22" t="str">
        <f>IFERROR(IF(A4="H-3",(s_TR/(s_RadSpec!G4*s_EF_ow*s_ED_out*(s_ET_ow_o+s_ET_ow_i)*(1/24)*s_IRA_ow*(1/17)*1000))*1,(s_TR/(s_RadSpec!G4*s_EF_ow*s_ED_out*(s_ET_ow_o+s_ET_ow_i)*(1/24)*s_IRA_ow*(1/s_PEF_wind)*1000))*1),".")</f>
        <v>.</v>
      </c>
      <c r="F4" s="22">
        <f>IFERROR((s_TR/(s_RadSpec!F4*s_EF_ow*(1/365)*s_ED_out*s_RadSpec!Q4*(s_ET_ow_o+s_ET_ow_i)*(1/24)*s_RadSpec!V4))*1,".")</f>
        <v>440956.38253448543</v>
      </c>
      <c r="G4" s="22">
        <f t="shared" si="0"/>
        <v>440956.38253448543</v>
      </c>
      <c r="H4" s="43">
        <f t="shared" si="1"/>
        <v>137.5</v>
      </c>
      <c r="I4" s="43">
        <f t="shared" si="2"/>
        <v>0.11080293013295324</v>
      </c>
      <c r="J4" s="43">
        <f>s_C*s_EF_ow*(1/365)*s_ED_out*(s_ET_ow_o+s_ET_ow_i)*(1/24)*s_RadSpec!V4*s_RadSpec!Q4*1</f>
        <v>0.12108610567514676</v>
      </c>
      <c r="K4" s="4"/>
      <c r="L4" s="4"/>
      <c r="M4" s="4"/>
      <c r="N4" s="4"/>
      <c r="O4" s="22">
        <f>IFERROR((s_TR/(s_RadSpec!F4*s_EF_ow*(1/365)*s_ED_out*s_RadSpec!Q4*(s_ET_ow_o+s_ET_ow_i)*(1/24)*s_RadSpec!V4))*1,".")</f>
        <v>440956.38253448543</v>
      </c>
      <c r="P4" s="22">
        <f>IFERROR((s_TR/(s_RadSpec!M4*s_EF_ow*(1/365)*s_ED_out*s_RadSpec!R4*(s_ET_ow_o+s_ET_ow_i)*(1/24)*s_RadSpec!W4))*1,".")</f>
        <v>3109403.5554844174</v>
      </c>
      <c r="Q4" s="22">
        <f>IFERROR((s_TR/(s_RadSpec!N4*s_EF_ow*(1/365)*s_ED_out*s_RadSpec!S4*(s_ET_ow_o+s_ET_ow_i)*(1/24)*s_RadSpec!X4))*1,".")</f>
        <v>810841.500288871</v>
      </c>
      <c r="R4" s="22">
        <f>IFERROR((s_TR/(s_RadSpec!O4*s_EF_ow*(1/365)*s_ED_out*s_RadSpec!T4*(s_ET_ow_o+s_ET_ow_i)*(1/24)*s_RadSpec!Y4))*1,".")</f>
        <v>480568.21361261251</v>
      </c>
      <c r="S4" s="22">
        <f>IFERROR((s_TR/(s_RadSpec!K4*s_EF_ow*(1/365)*s_ED_out*s_RadSpec!P4*(s_ET_ow_o+s_ET_ow_i)*(1/24)*s_RadSpec!U4))*1,".")</f>
        <v>5855911.7437149212</v>
      </c>
      <c r="T4" s="43">
        <f>s_C*s_EF_ow*(1/365)*s_ED_out*(s_ET_ow_o+s_ET_ow_i)*(1/24)*s_RadSpec!V4*s_RadSpec!Q4*1</f>
        <v>0.12108610567514676</v>
      </c>
      <c r="U4" s="43">
        <f>s_C*s_EF_ow*(1/365)*s_ED_out*(s_ET_ow_o+s_ET_ow_i)*(1/24)*s_RadSpec!W4*s_RadSpec!R4*1</f>
        <v>7.4200913242009128E-2</v>
      </c>
      <c r="V4" s="43">
        <f>s_C*s_EF_ow*(1/365)*s_ED_out*(s_ET_ow_o+s_ET_ow_i)*(1/24)*s_RadSpec!X4*s_RadSpec!S4*1</f>
        <v>0.10314742335290283</v>
      </c>
      <c r="W4" s="43">
        <f>s_C*s_EF_ow*(1/365)*s_ED_out*(s_ET_ow_o+s_ET_ow_i)*(1/24)*s_RadSpec!Y4*s_RadSpec!T4*1</f>
        <v>0.11849265507602641</v>
      </c>
      <c r="X4" s="43">
        <f>s_C*s_EF_ow*(1/365)*s_ED_out*(s_ET_ow_o+s_ET_ow_i)*(1/24)*s_RadSpec!U4*s_RadSpec!P4*1</f>
        <v>4.0178933290102962E-2</v>
      </c>
      <c r="Y4" s="11"/>
      <c r="Z4" s="11"/>
      <c r="AA4" s="11"/>
      <c r="AB4" s="11"/>
      <c r="AC4" s="11"/>
      <c r="AD4" s="22" t="str">
        <f>IFERROR(s_TR/(s_RadSpec!G4*s_EF_ow*s_ED_out*(s_ET_ow_o+s_ET_ow_i)*(1/24)*s_IRA_ow),".")</f>
        <v>.</v>
      </c>
      <c r="AE4" s="22">
        <f>IFERROR(s_TR/(s_RadSpec!J4*s_EF_ow*(1/365)*s_ED_out*(s_ET_ow_o+s_ET_ow_i)*(1/24)*s_GSF_a),".")</f>
        <v>32633183.552295782</v>
      </c>
      <c r="AF4" s="22">
        <f t="shared" ref="AF4:AF30" si="6">IFERROR(IF(AND(ISNUMBER(AD4),ISNUMBER(AE4)),1/((1/AD4)+(1/AE4)),IF(AND(ISNUMBER(AD4),NOT(ISNUMBER(AE4))),1/((1/AD4)),IF(AND(NOT(ISNUMBER(AD4)),ISNUMBER(AE4)),1/((1/AE4)),IF(AND(NOT(ISNUMBER(AD4)),NOT(ISNUMBER(AE4))),".")))),".")</f>
        <v>32633183.552295785</v>
      </c>
      <c r="AG4" s="43">
        <f t="shared" si="4"/>
        <v>34375</v>
      </c>
      <c r="AH4" s="43">
        <f t="shared" si="5"/>
        <v>1.5696347031963471</v>
      </c>
      <c r="AI4" s="10"/>
      <c r="AJ4" s="10"/>
      <c r="AK4" s="10"/>
    </row>
    <row r="5" spans="1:37" x14ac:dyDescent="0.25">
      <c r="A5" s="23" t="s">
        <v>15</v>
      </c>
      <c r="B5" s="24" t="s">
        <v>289</v>
      </c>
      <c r="C5" s="109"/>
      <c r="D5" s="22" t="str">
        <f>IFERROR((s_TR/(s_RadSpec!I5*s_EF_ow*s_ED_out*s_IRS_ow*(1/1000)))*1,".")</f>
        <v>.</v>
      </c>
      <c r="E5" s="22" t="str">
        <f>IFERROR(IF(A5="H-3",(s_TR/(s_RadSpec!G5*s_EF_ow*s_ED_out*(s_ET_ow_o+s_ET_ow_i)*(1/24)*s_IRA_ow*(1/17)*1000))*1,(s_TR/(s_RadSpec!G5*s_EF_ow*s_ED_out*(s_ET_ow_o+s_ET_ow_i)*(1/24)*s_IRA_ow*(1/s_PEF_wind)*1000))*1),".")</f>
        <v>.</v>
      </c>
      <c r="F5" s="22" t="str">
        <f>IFERROR((s_TR/(s_RadSpec!F5*s_EF_ow*(1/365)*s_ED_out*s_RadSpec!Q5*(s_ET_ow_o+s_ET_ow_i)*(1/24)*s_RadSpec!V5))*1,".")</f>
        <v>.</v>
      </c>
      <c r="G5" s="22" t="str">
        <f t="shared" si="0"/>
        <v>.</v>
      </c>
      <c r="H5" s="43">
        <f t="shared" si="1"/>
        <v>137.5</v>
      </c>
      <c r="I5" s="43">
        <f t="shared" si="2"/>
        <v>0.11080293013295324</v>
      </c>
      <c r="J5" s="43">
        <f>s_C*s_EF_ow*(1/365)*s_ED_out*(s_ET_ow_o+s_ET_ow_i)*(1/24)*s_RadSpec!V5*s_RadSpec!Q5*1</f>
        <v>0</v>
      </c>
      <c r="K5" s="4"/>
      <c r="L5" s="4"/>
      <c r="M5" s="4"/>
      <c r="N5" s="4"/>
      <c r="O5" s="22" t="str">
        <f>IFERROR((s_TR/(s_RadSpec!F5*s_EF_ow*(1/365)*s_ED_out*s_RadSpec!Q5*(s_ET_ow_o+s_ET_ow_i)*(1/24)*s_RadSpec!V5))*1,".")</f>
        <v>.</v>
      </c>
      <c r="P5" s="22" t="str">
        <f>IFERROR((s_TR/(s_RadSpec!M5*s_EF_ow*(1/365)*s_ED_out*s_RadSpec!R5*(s_ET_ow_o+s_ET_ow_i)*(1/24)*s_RadSpec!W5))*1,".")</f>
        <v>.</v>
      </c>
      <c r="Q5" s="22" t="str">
        <f>IFERROR((s_TR/(s_RadSpec!N5*s_EF_ow*(1/365)*s_ED_out*s_RadSpec!S5*(s_ET_ow_o+s_ET_ow_i)*(1/24)*s_RadSpec!X5))*1,".")</f>
        <v>.</v>
      </c>
      <c r="R5" s="22" t="str">
        <f>IFERROR((s_TR/(s_RadSpec!O5*s_EF_ow*(1/365)*s_ED_out*s_RadSpec!T5*(s_ET_ow_o+s_ET_ow_i)*(1/24)*s_RadSpec!Y5))*1,".")</f>
        <v>.</v>
      </c>
      <c r="S5" s="22" t="str">
        <f>IFERROR((s_TR/(s_RadSpec!K5*s_EF_ow*(1/365)*s_ED_out*s_RadSpec!P5*(s_ET_ow_o+s_ET_ow_i)*(1/24)*s_RadSpec!U5))*1,".")</f>
        <v>.</v>
      </c>
      <c r="T5" s="43">
        <f>s_C*s_EF_ow*(1/365)*s_ED_out*(s_ET_ow_o+s_ET_ow_i)*(1/24)*s_RadSpec!V5*s_RadSpec!Q5*1</f>
        <v>0</v>
      </c>
      <c r="U5" s="43">
        <f>s_C*s_EF_ow*(1/365)*s_ED_out*(s_ET_ow_o+s_ET_ow_i)*(1/24)*s_RadSpec!W5*s_RadSpec!R5*1</f>
        <v>0</v>
      </c>
      <c r="V5" s="43">
        <f>s_C*s_EF_ow*(1/365)*s_ED_out*(s_ET_ow_o+s_ET_ow_i)*(1/24)*s_RadSpec!X5*s_RadSpec!S5*1</f>
        <v>0</v>
      </c>
      <c r="W5" s="43">
        <f>s_C*s_EF_ow*(1/365)*s_ED_out*(s_ET_ow_o+s_ET_ow_i)*(1/24)*s_RadSpec!Y5*s_RadSpec!T5*1</f>
        <v>0</v>
      </c>
      <c r="X5" s="43">
        <f>s_C*s_EF_ow*(1/365)*s_ED_out*(s_ET_ow_o+s_ET_ow_i)*(1/24)*s_RadSpec!U5*s_RadSpec!P5*1</f>
        <v>0</v>
      </c>
      <c r="Y5" s="11"/>
      <c r="Z5" s="11"/>
      <c r="AA5" s="11"/>
      <c r="AB5" s="11"/>
      <c r="AC5" s="11"/>
      <c r="AD5" s="22" t="str">
        <f>IFERROR(s_TR/(s_RadSpec!G5*s_EF_ow*s_ED_out*(s_ET_ow_o+s_ET_ow_i)*(1/24)*s_IRA_ow),".")</f>
        <v>.</v>
      </c>
      <c r="AE5" s="22">
        <f>IFERROR(s_TR/(s_RadSpec!J5*s_EF_ow*(1/365)*s_ED_out*(s_ET_ow_o+s_ET_ow_i)*(1/24)*s_GSF_a),".")</f>
        <v>1033384145.8226998</v>
      </c>
      <c r="AF5" s="22">
        <f t="shared" si="6"/>
        <v>1033384145.8226997</v>
      </c>
      <c r="AG5" s="43">
        <f t="shared" si="4"/>
        <v>34375</v>
      </c>
      <c r="AH5" s="43">
        <f t="shared" si="5"/>
        <v>1.5696347031963471</v>
      </c>
      <c r="AI5" s="10"/>
      <c r="AJ5" s="10"/>
      <c r="AK5" s="10"/>
    </row>
    <row r="6" spans="1:37" x14ac:dyDescent="0.25">
      <c r="A6" s="23" t="s">
        <v>16</v>
      </c>
      <c r="B6" s="24" t="s">
        <v>289</v>
      </c>
      <c r="C6" s="2"/>
      <c r="D6" s="22" t="str">
        <f>IFERROR((s_TR/(s_RadSpec!I6*s_EF_ow*s_ED_out*s_IRS_ow*(1/1000)))*1,".")</f>
        <v>.</v>
      </c>
      <c r="E6" s="22" t="str">
        <f>IFERROR(IF(A6="H-3",(s_TR/(s_RadSpec!G6*s_EF_ow*s_ED_out*(s_ET_ow_o+s_ET_ow_i)*(1/24)*s_IRA_ow*(1/17)*1000))*1,(s_TR/(s_RadSpec!G6*s_EF_ow*s_ED_out*(s_ET_ow_o+s_ET_ow_i)*(1/24)*s_IRA_ow*(1/s_PEF_wind)*1000))*1),".")</f>
        <v>.</v>
      </c>
      <c r="F6" s="22">
        <f>IFERROR((s_TR/(s_RadSpec!F6*s_EF_ow*(1/365)*s_ED_out*s_RadSpec!Q6*(s_ET_ow_o+s_ET_ow_i)*(1/24)*s_RadSpec!V6))*1,".")</f>
        <v>79.027948573215298</v>
      </c>
      <c r="G6" s="22">
        <f t="shared" si="0"/>
        <v>79.027948573215298</v>
      </c>
      <c r="H6" s="43">
        <f t="shared" si="1"/>
        <v>137.5</v>
      </c>
      <c r="I6" s="43">
        <f t="shared" si="2"/>
        <v>0.11080293013295324</v>
      </c>
      <c r="J6" s="43">
        <f>s_C*s_EF_ow*(1/365)*s_ED_out*(s_ET_ow_o+s_ET_ow_i)*(1/24)*s_RadSpec!V6*s_RadSpec!Q6*1</f>
        <v>0.23558941220130064</v>
      </c>
      <c r="K6" s="4"/>
      <c r="L6" s="4"/>
      <c r="M6" s="4"/>
      <c r="N6" s="4"/>
      <c r="O6" s="22">
        <f>IFERROR((s_TR/(s_RadSpec!F6*s_EF_ow*(1/365)*s_ED_out*s_RadSpec!Q6*(s_ET_ow_o+s_ET_ow_i)*(1/24)*s_RadSpec!V6))*1,".")</f>
        <v>79.027948573215298</v>
      </c>
      <c r="P6" s="22">
        <f>IFERROR((s_TR/(s_RadSpec!M6*s_EF_ow*(1/365)*s_ED_out*s_RadSpec!R6*(s_ET_ow_o+s_ET_ow_i)*(1/24)*s_RadSpec!W6))*1,".")</f>
        <v>723.81338284307242</v>
      </c>
      <c r="Q6" s="22">
        <f>IFERROR((s_TR/(s_RadSpec!N6*s_EF_ow*(1/365)*s_ED_out*s_RadSpec!S6*(s_ET_ow_o+s_ET_ow_i)*(1/24)*s_RadSpec!X6))*1,".")</f>
        <v>181.38205102807333</v>
      </c>
      <c r="R6" s="22">
        <f>IFERROR((s_TR/(s_RadSpec!O6*s_EF_ow*(1/365)*s_ED_out*s_RadSpec!T6*(s_ET_ow_o+s_ET_ow_i)*(1/24)*s_RadSpec!Y6))*1,".")</f>
        <v>96.72923684746894</v>
      </c>
      <c r="S6" s="22">
        <f>IFERROR((s_TR/(s_RadSpec!K6*s_EF_ow*(1/365)*s_ED_out*s_RadSpec!P6*(s_ET_ow_o+s_ET_ow_i)*(1/24)*s_RadSpec!U6))*1,".")</f>
        <v>1241.7876756188346</v>
      </c>
      <c r="T6" s="43">
        <f>s_C*s_EF_ow*(1/365)*s_ED_out*(s_ET_ow_o+s_ET_ow_i)*(1/24)*s_RadSpec!V6*s_RadSpec!Q6*1</f>
        <v>0.23558941220130064</v>
      </c>
      <c r="U6" s="43">
        <f>s_C*s_EF_ow*(1/365)*s_ED_out*(s_ET_ow_o+s_ET_ow_i)*(1/24)*s_RadSpec!W6*s_RadSpec!R6*1</f>
        <v>0.12619731111622734</v>
      </c>
      <c r="V6" s="43">
        <f>s_C*s_EF_ow*(1/365)*s_ED_out*(s_ET_ow_o+s_ET_ow_i)*(1/24)*s_RadSpec!X6*s_RadSpec!S6*1</f>
        <v>0.17858235654097818</v>
      </c>
      <c r="W6" s="43">
        <f>s_C*s_EF_ow*(1/365)*s_ED_out*(s_ET_ow_o+s_ET_ow_i)*(1/24)*s_RadSpec!Y6*s_RadSpec!T6*1</f>
        <v>0.21594974260535738</v>
      </c>
      <c r="X6" s="43">
        <f>s_C*s_EF_ow*(1/365)*s_ED_out*(s_ET_ow_o+s_ET_ow_i)*(1/24)*s_RadSpec!U6*s_RadSpec!P6*1</f>
        <v>7.5128424657534221E-2</v>
      </c>
      <c r="Y6" s="11"/>
      <c r="Z6" s="11"/>
      <c r="AA6" s="11"/>
      <c r="AB6" s="11"/>
      <c r="AC6" s="11"/>
      <c r="AD6" s="22" t="str">
        <f>IFERROR(s_TR/(s_RadSpec!G6*s_EF_ow*s_ED_out*(s_ET_ow_o+s_ET_ow_i)*(1/24)*s_IRA_ow),".")</f>
        <v>.</v>
      </c>
      <c r="AE6" s="22">
        <f>IFERROR(s_TR/(s_RadSpec!J6*s_EF_ow*(1/365)*s_ED_out*(s_ET_ow_o+s_ET_ow_i)*(1/24)*s_GSF_a),".")</f>
        <v>12630.250671166332</v>
      </c>
      <c r="AF6" s="22">
        <f t="shared" si="6"/>
        <v>12630.250671166332</v>
      </c>
      <c r="AG6" s="43">
        <f t="shared" si="4"/>
        <v>34375</v>
      </c>
      <c r="AH6" s="43">
        <f t="shared" si="5"/>
        <v>1.5696347031963471</v>
      </c>
      <c r="AI6" s="10"/>
      <c r="AJ6" s="10"/>
      <c r="AK6" s="10"/>
    </row>
    <row r="7" spans="1:37" x14ac:dyDescent="0.25">
      <c r="A7" s="23" t="s">
        <v>17</v>
      </c>
      <c r="B7" s="24" t="s">
        <v>289</v>
      </c>
      <c r="C7" s="109"/>
      <c r="D7" s="22">
        <f>IFERROR((s_TR/(s_RadSpec!I7*s_EF_ow*s_ED_out*s_IRS_ow*(1/1000)))*1,".")</f>
        <v>97307.028000097314</v>
      </c>
      <c r="E7" s="22">
        <f>IFERROR(IF(A7="H-3",(s_TR/(s_RadSpec!G7*s_EF_ow*s_ED_out*(s_ET_ow_o+s_ET_ow_i)*(1/24)*s_IRA_ow*(1/17)*1000))*1,(s_TR/(s_RadSpec!G7*s_EF_ow*s_ED_out*(s_ET_ow_o+s_ET_ow_i)*(1/24)*s_IRA_ow*(1/s_PEF_wind)*1000))*1),".")</f>
        <v>991543.84629243263</v>
      </c>
      <c r="F7" s="22">
        <f>IFERROR((s_TR/(s_RadSpec!F7*s_EF_ow*(1/365)*s_ED_out*s_RadSpec!Q7*(s_ET_ow_o+s_ET_ow_i)*(1/24)*s_RadSpec!V7))*1,".")</f>
        <v>165944.89932919262</v>
      </c>
      <c r="G7" s="22">
        <f t="shared" si="0"/>
        <v>57765.486871481844</v>
      </c>
      <c r="H7" s="43">
        <f t="shared" si="1"/>
        <v>137.5</v>
      </c>
      <c r="I7" s="43">
        <f t="shared" si="2"/>
        <v>0.11080293013295324</v>
      </c>
      <c r="J7" s="43">
        <f>s_C*s_EF_ow*(1/365)*s_ED_out*(s_ET_ow_o+s_ET_ow_i)*(1/24)*s_RadSpec!V7*s_RadSpec!Q7*1</f>
        <v>0.10888098953817704</v>
      </c>
      <c r="K7" s="4"/>
      <c r="L7" s="4"/>
      <c r="M7" s="4"/>
      <c r="N7" s="4"/>
      <c r="O7" s="22">
        <f>IFERROR((s_TR/(s_RadSpec!F7*s_EF_ow*(1/365)*s_ED_out*s_RadSpec!Q7*(s_ET_ow_o+s_ET_ow_i)*(1/24)*s_RadSpec!V7))*1,".")</f>
        <v>165944.89932919262</v>
      </c>
      <c r="P7" s="22">
        <f>IFERROR((s_TR/(s_RadSpec!M7*s_EF_ow*(1/365)*s_ED_out*s_RadSpec!R7*(s_ET_ow_o+s_ET_ow_i)*(1/24)*s_RadSpec!W7))*1,".")</f>
        <v>765258.1002249415</v>
      </c>
      <c r="Q7" s="22">
        <f>IFERROR((s_TR/(s_RadSpec!N7*s_EF_ow*(1/365)*s_ED_out*s_RadSpec!S7*(s_ET_ow_o+s_ET_ow_i)*(1/24)*s_RadSpec!X7))*1,".")</f>
        <v>260447.30986862781</v>
      </c>
      <c r="R7" s="22">
        <f>IFERROR((s_TR/(s_RadSpec!O7*s_EF_ow*(1/365)*s_ED_out*s_RadSpec!T7*(s_ET_ow_o+s_ET_ow_i)*(1/24)*s_RadSpec!Y7))*1,".")</f>
        <v>183335.43435043469</v>
      </c>
      <c r="S7" s="22">
        <f>IFERROR((s_TR/(s_RadSpec!K7*s_EF_ow*(1/365)*s_ED_out*s_RadSpec!P7*(s_ET_ow_o+s_ET_ow_i)*(1/24)*s_RadSpec!U7))*1,".")</f>
        <v>259255.42796089043</v>
      </c>
      <c r="T7" s="43">
        <f>s_C*s_EF_ow*(1/365)*s_ED_out*(s_ET_ow_o+s_ET_ow_i)*(1/24)*s_RadSpec!V7*s_RadSpec!Q7*1</f>
        <v>0.10888098953817704</v>
      </c>
      <c r="U7" s="43">
        <f>s_C*s_EF_ow*(1/365)*s_ED_out*(s_ET_ow_o+s_ET_ow_i)*(1/24)*s_RadSpec!W7*s_RadSpec!R7*1</f>
        <v>6.8440865837080381E-2</v>
      </c>
      <c r="V7" s="43">
        <f>s_C*s_EF_ow*(1/365)*s_ED_out*(s_ET_ow_o+s_ET_ow_i)*(1/24)*s_RadSpec!X7*s_RadSpec!S7*1</f>
        <v>9.3418259023354558E-2</v>
      </c>
      <c r="W7" s="43">
        <f>s_C*s_EF_ow*(1/365)*s_ED_out*(s_ET_ow_o+s_ET_ow_i)*(1/24)*s_RadSpec!Y7*s_RadSpec!T7*1</f>
        <v>0.10155237048311634</v>
      </c>
      <c r="X7" s="43">
        <f>s_C*s_EF_ow*(1/365)*s_ED_out*(s_ET_ow_o+s_ET_ow_i)*(1/24)*s_RadSpec!U7*s_RadSpec!P7*1</f>
        <v>3.9993222899932249E-2</v>
      </c>
      <c r="Y7" s="11"/>
      <c r="Z7" s="11"/>
      <c r="AA7" s="11"/>
      <c r="AB7" s="11"/>
      <c r="AC7" s="11"/>
      <c r="AD7" s="22">
        <f>IFERROR(s_TR/(s_RadSpec!G7*s_EF_ow*s_ED_out*(s_ET_ow_o+s_ET_ow_i)*(1/24)*s_IRA_ow),".")</f>
        <v>3.1961007570763673</v>
      </c>
      <c r="AE7" s="22">
        <f>IFERROR(s_TR/(s_RadSpec!J7*s_EF_ow*(1/365)*s_ED_out*(s_ET_ow_o+s_ET_ow_i)*(1/24)*s_GSF_a),".")</f>
        <v>6022371.1809534831</v>
      </c>
      <c r="AF7" s="22">
        <f t="shared" si="6"/>
        <v>3.1960990608915387</v>
      </c>
      <c r="AG7" s="43">
        <f t="shared" si="4"/>
        <v>34375</v>
      </c>
      <c r="AH7" s="43">
        <f t="shared" si="5"/>
        <v>1.5696347031963471</v>
      </c>
      <c r="AI7" s="10"/>
      <c r="AJ7" s="10"/>
      <c r="AK7" s="10"/>
    </row>
    <row r="8" spans="1:37" x14ac:dyDescent="0.25">
      <c r="A8" s="23" t="s">
        <v>18</v>
      </c>
      <c r="B8" s="24" t="s">
        <v>289</v>
      </c>
      <c r="C8" s="2"/>
      <c r="D8" s="22">
        <f>IFERROR((s_TR/(s_RadSpec!I8*s_EF_ow*s_ED_out*s_IRS_ow*(1/1000)))*1,".")</f>
        <v>1146792.2786475879</v>
      </c>
      <c r="E8" s="22">
        <f>IFERROR(IF(A8="H-3",(s_TR/(s_RadSpec!G8*s_EF_ow*s_ED_out*(s_ET_ow_o+s_ET_ow_i)*(1/24)*s_IRA_ow*(1/17)*1000))*1,(s_TR/(s_RadSpec!G8*s_EF_ow*s_ED_out*(s_ET_ow_o+s_ET_ow_i)*(1/24)*s_IRA_ow*(1/s_PEF_wind)*1000))*1),".")</f>
        <v>6097994.6546984613</v>
      </c>
      <c r="F8" s="22">
        <f>IFERROR((s_TR/(s_RadSpec!F8*s_EF_ow*(1/365)*s_ED_out*s_RadSpec!Q8*(s_ET_ow_o+s_ET_ow_i)*(1/24)*s_RadSpec!V8))*1,".")</f>
        <v>486.21175280198338</v>
      </c>
      <c r="G8" s="22">
        <f t="shared" si="0"/>
        <v>485.96696711503597</v>
      </c>
      <c r="H8" s="43">
        <f t="shared" si="1"/>
        <v>137.5</v>
      </c>
      <c r="I8" s="43">
        <f t="shared" si="2"/>
        <v>0.11080293013295324</v>
      </c>
      <c r="J8" s="43">
        <f>s_C*s_EF_ow*(1/365)*s_ED_out*(s_ET_ow_o+s_ET_ow_i)*(1/24)*s_RadSpec!V8*s_RadSpec!Q8*1</f>
        <v>0.18940258751902581</v>
      </c>
      <c r="K8" s="4"/>
      <c r="L8" s="4"/>
      <c r="M8" s="4"/>
      <c r="N8" s="4"/>
      <c r="O8" s="22">
        <f>IFERROR((s_TR/(s_RadSpec!F8*s_EF_ow*(1/365)*s_ED_out*s_RadSpec!Q8*(s_ET_ow_o+s_ET_ow_i)*(1/24)*s_RadSpec!V8))*1,".")</f>
        <v>486.21175280198338</v>
      </c>
      <c r="P8" s="22">
        <f>IFERROR((s_TR/(s_RadSpec!M8*s_EF_ow*(1/365)*s_ED_out*s_RadSpec!R8*(s_ET_ow_o+s_ET_ow_i)*(1/24)*s_RadSpec!W8))*1,".")</f>
        <v>4117.366561884126</v>
      </c>
      <c r="Q8" s="22">
        <f>IFERROR((s_TR/(s_RadSpec!N8*s_EF_ow*(1/365)*s_ED_out*s_RadSpec!S8*(s_ET_ow_o+s_ET_ow_i)*(1/24)*s_RadSpec!X8))*1,".")</f>
        <v>1075.7587971068322</v>
      </c>
      <c r="R8" s="22">
        <f>IFERROR((s_TR/(s_RadSpec!O8*s_EF_ow*(1/365)*s_ED_out*s_RadSpec!T8*(s_ET_ow_o+s_ET_ow_i)*(1/24)*s_RadSpec!Y8))*1,".")</f>
        <v>651.97737906794941</v>
      </c>
      <c r="S8" s="22">
        <f>IFERROR((s_TR/(s_RadSpec!K8*s_EF_ow*(1/365)*s_ED_out*s_RadSpec!P8*(s_ET_ow_o+s_ET_ow_i)*(1/24)*s_RadSpec!U8))*1,".")</f>
        <v>7466.0607342686508</v>
      </c>
      <c r="T8" s="43">
        <f>s_C*s_EF_ow*(1/365)*s_ED_out*(s_ET_ow_o+s_ET_ow_i)*(1/24)*s_RadSpec!V8*s_RadSpec!Q8*1</f>
        <v>0.18940258751902581</v>
      </c>
      <c r="U8" s="43">
        <f>s_C*s_EF_ow*(1/365)*s_ED_out*(s_ET_ow_o+s_ET_ow_i)*(1/24)*s_RadSpec!W8*s_RadSpec!R8*1</f>
        <v>0.10317732115677322</v>
      </c>
      <c r="V8" s="43">
        <f>s_C*s_EF_ow*(1/365)*s_ED_out*(s_ET_ow_o+s_ET_ow_i)*(1/24)*s_RadSpec!X8*s_RadSpec!S8*1</f>
        <v>0.14135681669928246</v>
      </c>
      <c r="W8" s="43">
        <f>s_C*s_EF_ow*(1/365)*s_ED_out*(s_ET_ow_o+s_ET_ow_i)*(1/24)*s_RadSpec!Y8*s_RadSpec!T8*1</f>
        <v>0.15417792140973693</v>
      </c>
      <c r="X8" s="43">
        <f>s_C*s_EF_ow*(1/365)*s_ED_out*(s_ET_ow_o+s_ET_ow_i)*(1/24)*s_RadSpec!U8*s_RadSpec!P8*1</f>
        <v>5.5684659708632324E-2</v>
      </c>
      <c r="Y8" s="11"/>
      <c r="Z8" s="11"/>
      <c r="AA8" s="11"/>
      <c r="AB8" s="11"/>
      <c r="AC8" s="11"/>
      <c r="AD8" s="22">
        <f>IFERROR(s_TR/(s_RadSpec!G8*s_EF_ow*s_ED_out*(s_ET_ow_o+s_ET_ow_i)*(1/24)*s_IRA_ow),".")</f>
        <v>19.656019656019662</v>
      </c>
      <c r="AE8" s="22">
        <f>IFERROR(s_TR/(s_RadSpec!J8*s_EF_ow*(1/365)*s_ED_out*(s_ET_ow_o+s_ET_ow_i)*(1/24)*s_GSF_a),".")</f>
        <v>59827.503179208943</v>
      </c>
      <c r="AF8" s="22">
        <f t="shared" si="6"/>
        <v>19.649563892473161</v>
      </c>
      <c r="AG8" s="43">
        <f t="shared" si="4"/>
        <v>34375</v>
      </c>
      <c r="AH8" s="43">
        <f t="shared" si="5"/>
        <v>1.5696347031963471</v>
      </c>
      <c r="AI8" s="10"/>
      <c r="AJ8" s="10"/>
      <c r="AK8" s="10"/>
    </row>
    <row r="9" spans="1:37" x14ac:dyDescent="0.25">
      <c r="A9" s="23" t="s">
        <v>19</v>
      </c>
      <c r="B9" s="24" t="s">
        <v>289</v>
      </c>
      <c r="C9" s="109"/>
      <c r="D9" s="22">
        <f>IFERROR((s_TR/(s_RadSpec!I9*s_EF_ow*s_ED_out*s_IRS_ow*(1/1000)))*1,".")</f>
        <v>2469349.2030175449</v>
      </c>
      <c r="E9" s="22">
        <f>IFERROR(IF(A9="H-3",(s_TR/(s_RadSpec!G9*s_EF_ow*s_ED_out*(s_ET_ow_o+s_ET_ow_i)*(1/24)*s_IRA_ow*(1/17)*1000))*1,(s_TR/(s_RadSpec!G9*s_EF_ow*s_ED_out*(s_ET_ow_o+s_ET_ow_i)*(1/24)*s_IRA_ow*(1/s_PEF_wind)*1000))*1),".")</f>
        <v>7301805.8972117472</v>
      </c>
      <c r="F9" s="22">
        <f>IFERROR((s_TR/(s_RadSpec!F9*s_EF_ow*(1/365)*s_ED_out*s_RadSpec!Q9*(s_ET_ow_o+s_ET_ow_i)*(1/24)*s_RadSpec!V9))*1,".")</f>
        <v>17.702045386220892</v>
      </c>
      <c r="G9" s="22">
        <f t="shared" si="0"/>
        <v>17.701875571300203</v>
      </c>
      <c r="H9" s="43">
        <f t="shared" si="1"/>
        <v>137.5</v>
      </c>
      <c r="I9" s="43">
        <f t="shared" si="2"/>
        <v>0.11080293013295324</v>
      </c>
      <c r="J9" s="43">
        <f>s_C*s_EF_ow*(1/365)*s_ED_out*(s_ET_ow_o+s_ET_ow_i)*(1/24)*s_RadSpec!V9*s_RadSpec!Q9*1</f>
        <v>0.38458311949784862</v>
      </c>
      <c r="K9" s="4"/>
      <c r="L9" s="4"/>
      <c r="M9" s="4"/>
      <c r="N9" s="4"/>
      <c r="O9" s="22">
        <f>IFERROR((s_TR/(s_RadSpec!F9*s_EF_ow*(1/365)*s_ED_out*s_RadSpec!Q9*(s_ET_ow_o+s_ET_ow_i)*(1/24)*s_RadSpec!V9))*1,".")</f>
        <v>17.702045386220892</v>
      </c>
      <c r="P9" s="22">
        <f>IFERROR((s_TR/(s_RadSpec!M9*s_EF_ow*(1/365)*s_ED_out*s_RadSpec!R9*(s_ET_ow_o+s_ET_ow_i)*(1/24)*s_RadSpec!W9))*1,".")</f>
        <v>200.75260887433728</v>
      </c>
      <c r="Q9" s="22">
        <f>IFERROR((s_TR/(s_RadSpec!N9*s_EF_ow*(1/365)*s_ED_out*s_RadSpec!S9*(s_ET_ow_o+s_ET_ow_i)*(1/24)*s_RadSpec!X9))*1,".")</f>
        <v>49.161744827673417</v>
      </c>
      <c r="R9" s="22">
        <f>IFERROR((s_TR/(s_RadSpec!O9*s_EF_ow*(1/365)*s_ED_out*s_RadSpec!T9*(s_ET_ow_o+s_ET_ow_i)*(1/24)*s_RadSpec!Y9))*1,".")</f>
        <v>25.146990620780524</v>
      </c>
      <c r="S9" s="22">
        <f>IFERROR((s_TR/(s_RadSpec!K9*s_EF_ow*(1/365)*s_ED_out*s_RadSpec!P9*(s_ET_ow_o+s_ET_ow_i)*(1/24)*s_RadSpec!U9))*1,".")</f>
        <v>367.22643535194544</v>
      </c>
      <c r="T9" s="43">
        <f>s_C*s_EF_ow*(1/365)*s_ED_out*(s_ET_ow_o+s_ET_ow_i)*(1/24)*s_RadSpec!V9*s_RadSpec!Q9*1</f>
        <v>0.38458311949784862</v>
      </c>
      <c r="U9" s="43">
        <f>s_C*s_EF_ow*(1/365)*s_ED_out*(s_ET_ow_o+s_ET_ow_i)*(1/24)*s_RadSpec!W9*s_RadSpec!R9*1</f>
        <v>0.18776938505526386</v>
      </c>
      <c r="V9" s="43">
        <f>s_C*s_EF_ow*(1/365)*s_ED_out*(s_ET_ow_o+s_ET_ow_i)*(1/24)*s_RadSpec!X9*s_RadSpec!S9*1</f>
        <v>0.26686208497794273</v>
      </c>
      <c r="W9" s="43">
        <f>s_C*s_EF_ow*(1/365)*s_ED_out*(s_ET_ow_o+s_ET_ow_i)*(1/24)*s_RadSpec!Y9*s_RadSpec!T9*1</f>
        <v>0.32373715753424659</v>
      </c>
      <c r="X9" s="43">
        <f>s_C*s_EF_ow*(1/365)*s_ED_out*(s_ET_ow_o+s_ET_ow_i)*(1/24)*s_RadSpec!U9*s_RadSpec!P9*1</f>
        <v>0.10600776812562643</v>
      </c>
      <c r="Y9" s="11"/>
      <c r="Z9" s="11"/>
      <c r="AA9" s="11"/>
      <c r="AB9" s="11"/>
      <c r="AC9" s="11"/>
      <c r="AD9" s="22">
        <f>IFERROR(s_TR/(s_RadSpec!G9*s_EF_ow*s_ED_out*(s_ET_ow_o+s_ET_ow_i)*(1/24)*s_IRA_ow),".")</f>
        <v>23.536334215945867</v>
      </c>
      <c r="AE9" s="22">
        <f>IFERROR(s_TR/(s_RadSpec!J9*s_EF_ow*(1/365)*s_ED_out*(s_ET_ow_o+s_ET_ow_i)*(1/24)*s_GSF_a),".")</f>
        <v>4761.1416142616554</v>
      </c>
      <c r="AF9" s="22">
        <f t="shared" si="6"/>
        <v>23.420556511722125</v>
      </c>
      <c r="AG9" s="43">
        <f t="shared" si="4"/>
        <v>34375</v>
      </c>
      <c r="AH9" s="43">
        <f t="shared" si="5"/>
        <v>1.5696347031963471</v>
      </c>
      <c r="AI9" s="10"/>
      <c r="AJ9" s="10"/>
      <c r="AK9" s="10"/>
    </row>
    <row r="10" spans="1:37" x14ac:dyDescent="0.25">
      <c r="A10" s="25" t="s">
        <v>20</v>
      </c>
      <c r="B10" s="24" t="s">
        <v>275</v>
      </c>
      <c r="C10" s="2"/>
      <c r="D10" s="22">
        <f>IFERROR((s_TR/(s_RadSpec!I10*s_EF_ow*s_ED_out*s_IRS_ow*(1/1000)))*1,".")</f>
        <v>11441.222151350206</v>
      </c>
      <c r="E10" s="22">
        <f>IFERROR(IF(A10="H-3",(s_TR/(s_RadSpec!G10*s_EF_ow*s_ED_out*(s_ET_ow_o+s_ET_ow_i)*(1/24)*s_IRA_ow*(1/17)*1000))*1,(s_TR/(s_RadSpec!G10*s_EF_ow*s_ED_out*(s_ET_ow_o+s_ET_ow_i)*(1/24)*s_IRA_ow*(1/s_PEF_wind)*1000))*1),".")</f>
        <v>4011838.5886174073</v>
      </c>
      <c r="F10" s="22">
        <f>IFERROR((s_TR/(s_RadSpec!F10*s_EF_ow*(1/365)*s_ED_out*s_RadSpec!Q10*(s_ET_ow_o+s_ET_ow_i)*(1/24)*s_RadSpec!V10))*1,".")</f>
        <v>450431.89346158871</v>
      </c>
      <c r="G10" s="22">
        <f t="shared" si="0"/>
        <v>11126.861340145377</v>
      </c>
      <c r="H10" s="43">
        <f t="shared" si="1"/>
        <v>137.5</v>
      </c>
      <c r="I10" s="43">
        <f t="shared" si="2"/>
        <v>0.11080293013295324</v>
      </c>
      <c r="J10" s="43">
        <f>s_C*s_EF_ow*(1/365)*s_ED_out*(s_ET_ow_o+s_ET_ow_i)*(1/24)*s_RadSpec!V10*s_RadSpec!Q10*1</f>
        <v>0.20098980955562981</v>
      </c>
      <c r="K10" s="4"/>
      <c r="L10" s="4"/>
      <c r="M10" s="4"/>
      <c r="N10" s="4"/>
      <c r="O10" s="22">
        <f>IFERROR((s_TR/(s_RadSpec!F10*s_EF_ow*(1/365)*s_ED_out*s_RadSpec!Q10*(s_ET_ow_o+s_ET_ow_i)*(1/24)*s_RadSpec!V10))*1,".")</f>
        <v>450431.89346158871</v>
      </c>
      <c r="P10" s="22">
        <f>IFERROR((s_TR/(s_RadSpec!M10*s_EF_ow*(1/365)*s_ED_out*s_RadSpec!R10*(s_ET_ow_o+s_ET_ow_i)*(1/24)*s_RadSpec!W10))*1,".")</f>
        <v>2014533.7408933809</v>
      </c>
      <c r="Q10" s="22">
        <f>IFERROR((s_TR/(s_RadSpec!N10*s_EF_ow*(1/365)*s_ED_out*s_RadSpec!S10*(s_ET_ow_o+s_ET_ow_i)*(1/24)*s_RadSpec!X10))*1,".")</f>
        <v>652775.28591987269</v>
      </c>
      <c r="R10" s="22">
        <f>IFERROR((s_TR/(s_RadSpec!O10*s_EF_ow*(1/365)*s_ED_out*s_RadSpec!T10*(s_ET_ow_o+s_ET_ow_i)*(1/24)*s_RadSpec!Y10))*1,".")</f>
        <v>467337.64038253075</v>
      </c>
      <c r="S10" s="22">
        <f>IFERROR((s_TR/(s_RadSpec!K10*s_EF_ow*(1/365)*s_ED_out*s_RadSpec!P10*(s_ET_ow_o+s_ET_ow_i)*(1/24)*s_RadSpec!U10))*1,".")</f>
        <v>1177450.6336254212</v>
      </c>
      <c r="T10" s="43">
        <f>s_C*s_EF_ow*(1/365)*s_ED_out*(s_ET_ow_o+s_ET_ow_i)*(1/24)*s_RadSpec!V10*s_RadSpec!Q10*1</f>
        <v>0.20098980955562981</v>
      </c>
      <c r="U10" s="43">
        <f>s_C*s_EF_ow*(1/365)*s_ED_out*(s_ET_ow_o+s_ET_ow_i)*(1/24)*s_RadSpec!W10*s_RadSpec!R10*1</f>
        <v>0.1289830256104825</v>
      </c>
      <c r="V10" s="43">
        <f>s_C*s_EF_ow*(1/365)*s_ED_out*(s_ET_ow_o+s_ET_ow_i)*(1/24)*s_RadSpec!X10*s_RadSpec!S10*1</f>
        <v>0.18061539684366895</v>
      </c>
      <c r="W10" s="43">
        <f>s_C*s_EF_ow*(1/365)*s_ED_out*(s_ET_ow_o+s_ET_ow_i)*(1/24)*s_RadSpec!Y10*s_RadSpec!T10*1</f>
        <v>0.19747656813266046</v>
      </c>
      <c r="X10" s="43">
        <f>s_C*s_EF_ow*(1/365)*s_ED_out*(s_ET_ow_o+s_ET_ow_i)*(1/24)*s_RadSpec!U10*s_RadSpec!P10*1</f>
        <v>7.6726124780886834E-2</v>
      </c>
      <c r="Y10" s="11"/>
      <c r="Z10" s="11"/>
      <c r="AA10" s="11"/>
      <c r="AB10" s="11"/>
      <c r="AC10" s="11"/>
      <c r="AD10" s="22">
        <f>IFERROR(s_TR/(s_RadSpec!G10*s_EF_ow*s_ED_out*(s_ET_ow_o+s_ET_ow_i)*(1/24)*s_IRA_ow),".")</f>
        <v>12.931591878960301</v>
      </c>
      <c r="AE10" s="22">
        <f>IFERROR(s_TR/(s_RadSpec!J10*s_EF_ow*(1/365)*s_ED_out*(s_ET_ow_o+s_ET_ow_i)*(1/24)*s_GSF_a),".")</f>
        <v>19626864.352316026</v>
      </c>
      <c r="AF10" s="22">
        <f t="shared" si="6"/>
        <v>12.931583358701774</v>
      </c>
      <c r="AG10" s="43">
        <f t="shared" si="4"/>
        <v>34375</v>
      </c>
      <c r="AH10" s="43">
        <f t="shared" si="5"/>
        <v>1.5696347031963471</v>
      </c>
      <c r="AI10" s="10"/>
      <c r="AJ10" s="10"/>
      <c r="AK10" s="10"/>
    </row>
    <row r="11" spans="1:37" x14ac:dyDescent="0.25">
      <c r="A11" s="23" t="s">
        <v>21</v>
      </c>
      <c r="B11" s="24" t="s">
        <v>289</v>
      </c>
      <c r="C11" s="2"/>
      <c r="D11" s="22" t="str">
        <f>IFERROR((s_TR/(s_RadSpec!I11*s_EF_ow*s_ED_out*s_IRS_ow*(1/1000)))*1,".")</f>
        <v>.</v>
      </c>
      <c r="E11" s="22" t="str">
        <f>IFERROR(IF(A11="H-3",(s_TR/(s_RadSpec!G11*s_EF_ow*s_ED_out*(s_ET_ow_o+s_ET_ow_i)*(1/24)*s_IRA_ow*(1/17)*1000))*1,(s_TR/(s_RadSpec!G11*s_EF_ow*s_ED_out*(s_ET_ow_o+s_ET_ow_i)*(1/24)*s_IRA_ow*(1/s_PEF_wind)*1000))*1),".")</f>
        <v>.</v>
      </c>
      <c r="F11" s="22">
        <f>IFERROR((s_TR/(s_RadSpec!F11*s_EF_ow*(1/365)*s_ED_out*s_RadSpec!Q11*(s_ET_ow_o+s_ET_ow_i)*(1/24)*s_RadSpec!V11))*1,".")</f>
        <v>7094.2571502794317</v>
      </c>
      <c r="G11" s="22">
        <f t="shared" si="0"/>
        <v>7094.2571502794317</v>
      </c>
      <c r="H11" s="43">
        <f t="shared" si="1"/>
        <v>137.5</v>
      </c>
      <c r="I11" s="43">
        <f t="shared" si="2"/>
        <v>0.11080293013295324</v>
      </c>
      <c r="J11" s="43">
        <f>s_C*s_EF_ow*(1/365)*s_ED_out*(s_ET_ow_o+s_ET_ow_i)*(1/24)*s_RadSpec!V11*s_RadSpec!Q11*1</f>
        <v>6.7217297878055346E-2</v>
      </c>
      <c r="K11" s="4"/>
      <c r="L11" s="4"/>
      <c r="M11" s="4"/>
      <c r="N11" s="4"/>
      <c r="O11" s="22">
        <f>IFERROR((s_TR/(s_RadSpec!F11*s_EF_ow*(1/365)*s_ED_out*s_RadSpec!Q11*(s_ET_ow_o+s_ET_ow_i)*(1/24)*s_RadSpec!V11))*1,".")</f>
        <v>7094.2571502794317</v>
      </c>
      <c r="P11" s="22">
        <f>IFERROR((s_TR/(s_RadSpec!M11*s_EF_ow*(1/365)*s_ED_out*s_RadSpec!R11*(s_ET_ow_o+s_ET_ow_i)*(1/24)*s_RadSpec!W11))*1,".")</f>
        <v>36774.492926136889</v>
      </c>
      <c r="Q11" s="22">
        <f>IFERROR((s_TR/(s_RadSpec!N11*s_EF_ow*(1/365)*s_ED_out*s_RadSpec!S11*(s_ET_ow_o+s_ET_ow_i)*(1/24)*s_RadSpec!X11))*1,".")</f>
        <v>10344.019530920519</v>
      </c>
      <c r="R11" s="22">
        <f>IFERROR((s_TR/(s_RadSpec!O11*s_EF_ow*(1/365)*s_ED_out*s_RadSpec!T11*(s_ET_ow_o+s_ET_ow_i)*(1/24)*s_RadSpec!Y11))*1,".")</f>
        <v>6889.2942310004073</v>
      </c>
      <c r="S11" s="22">
        <f>IFERROR((s_TR/(s_RadSpec!K11*s_EF_ow*(1/365)*s_ED_out*s_RadSpec!P11*(s_ET_ow_o+s_ET_ow_i)*(1/24)*s_RadSpec!U11))*1,".")</f>
        <v>69474.433698220411</v>
      </c>
      <c r="T11" s="43">
        <f>s_C*s_EF_ow*(1/365)*s_ED_out*(s_ET_ow_o+s_ET_ow_i)*(1/24)*s_RadSpec!V11*s_RadSpec!Q11*1</f>
        <v>6.7217297878055346E-2</v>
      </c>
      <c r="U11" s="43">
        <f>s_C*s_EF_ow*(1/365)*s_ED_out*(s_ET_ow_o+s_ET_ow_i)*(1/24)*s_RadSpec!W11*s_RadSpec!R11*1</f>
        <v>5.3122324486301373E-2</v>
      </c>
      <c r="V11" s="43">
        <f>s_C*s_EF_ow*(1/365)*s_ED_out*(s_ET_ow_o+s_ET_ow_i)*(1/24)*s_RadSpec!X11*s_RadSpec!S11*1</f>
        <v>6.8448383919777978E-2</v>
      </c>
      <c r="W11" s="43">
        <f>s_C*s_EF_ow*(1/365)*s_ED_out*(s_ET_ow_o+s_ET_ow_i)*(1/24)*s_RadSpec!Y11*s_RadSpec!T11*1</f>
        <v>7.1857726508050931E-2</v>
      </c>
      <c r="X11" s="43">
        <f>s_C*s_EF_ow*(1/365)*s_ED_out*(s_ET_ow_o+s_ET_ow_i)*(1/24)*s_RadSpec!U11*s_RadSpec!P11*1</f>
        <v>2.8535503937528954E-2</v>
      </c>
      <c r="Y11" s="11"/>
      <c r="Z11" s="11"/>
      <c r="AA11" s="11"/>
      <c r="AB11" s="11"/>
      <c r="AC11" s="11"/>
      <c r="AD11" s="22" t="str">
        <f>IFERROR(s_TR/(s_RadSpec!G11*s_EF_ow*s_ED_out*(s_ET_ow_o+s_ET_ow_i)*(1/24)*s_IRA_ow),".")</f>
        <v>.</v>
      </c>
      <c r="AE11" s="22">
        <f>IFERROR(s_TR/(s_RadSpec!J11*s_EF_ow*(1/365)*s_ED_out*(s_ET_ow_o+s_ET_ow_i)*(1/24)*s_GSF_a),".")</f>
        <v>276406.7016182298</v>
      </c>
      <c r="AF11" s="22">
        <f t="shared" si="6"/>
        <v>276406.7016182298</v>
      </c>
      <c r="AG11" s="43">
        <f t="shared" si="4"/>
        <v>34375</v>
      </c>
      <c r="AH11" s="43">
        <f t="shared" si="5"/>
        <v>1.5696347031963471</v>
      </c>
      <c r="AI11" s="10"/>
      <c r="AJ11" s="10"/>
      <c r="AK11" s="10"/>
    </row>
    <row r="12" spans="1:37" x14ac:dyDescent="0.25">
      <c r="A12" s="23" t="s">
        <v>22</v>
      </c>
      <c r="B12" s="24" t="s">
        <v>289</v>
      </c>
      <c r="C12" s="109"/>
      <c r="D12" s="22" t="str">
        <f>IFERROR((s_TR/(s_RadSpec!I12*s_EF_ow*s_ED_out*s_IRS_ow*(1/1000)))*1,".")</f>
        <v>.</v>
      </c>
      <c r="E12" s="22" t="str">
        <f>IFERROR(IF(A12="H-3",(s_TR/(s_RadSpec!G12*s_EF_ow*s_ED_out*(s_ET_ow_o+s_ET_ow_i)*(1/24)*s_IRA_ow*(1/17)*1000))*1,(s_TR/(s_RadSpec!G12*s_EF_ow*s_ED_out*(s_ET_ow_o+s_ET_ow_i)*(1/24)*s_IRA_ow*(1/s_PEF_wind)*1000))*1),".")</f>
        <v>.</v>
      </c>
      <c r="F12" s="22">
        <f>IFERROR((s_TR/(s_RadSpec!F12*s_EF_ow*(1/365)*s_ED_out*s_RadSpec!Q12*(s_ET_ow_o+s_ET_ow_i)*(1/24)*s_RadSpec!V12))*1,".")</f>
        <v>737.29994894191623</v>
      </c>
      <c r="G12" s="22">
        <f t="shared" si="0"/>
        <v>737.29994894191623</v>
      </c>
      <c r="H12" s="43">
        <f t="shared" si="1"/>
        <v>137.5</v>
      </c>
      <c r="I12" s="43">
        <f t="shared" si="2"/>
        <v>0.11080293013295324</v>
      </c>
      <c r="J12" s="43">
        <f>s_C*s_EF_ow*(1/365)*s_ED_out*(s_ET_ow_o+s_ET_ow_i)*(1/24)*s_RadSpec!V12*s_RadSpec!Q12*1</f>
        <v>0.14028775593491805</v>
      </c>
      <c r="K12" s="4"/>
      <c r="L12" s="4"/>
      <c r="M12" s="4"/>
      <c r="N12" s="4"/>
      <c r="O12" s="22">
        <f>IFERROR((s_TR/(s_RadSpec!F12*s_EF_ow*(1/365)*s_ED_out*s_RadSpec!Q12*(s_ET_ow_o+s_ET_ow_i)*(1/24)*s_RadSpec!V12))*1,".")</f>
        <v>737.29994894191623</v>
      </c>
      <c r="P12" s="22">
        <f>IFERROR((s_TR/(s_RadSpec!M12*s_EF_ow*(1/365)*s_ED_out*s_RadSpec!R12*(s_ET_ow_o+s_ET_ow_i)*(1/24)*s_RadSpec!W12))*1,".")</f>
        <v>5820.8338233812192</v>
      </c>
      <c r="Q12" s="22">
        <f>IFERROR((s_TR/(s_RadSpec!N12*s_EF_ow*(1/365)*s_ED_out*s_RadSpec!S12*(s_ET_ow_o+s_ET_ow_i)*(1/24)*s_RadSpec!X12))*1,".")</f>
        <v>1513.2447584318531</v>
      </c>
      <c r="R12" s="22">
        <f>IFERROR((s_TR/(s_RadSpec!O12*s_EF_ow*(1/365)*s_ED_out*s_RadSpec!T12*(s_ET_ow_o+s_ET_ow_i)*(1/24)*s_RadSpec!Y12))*1,".")</f>
        <v>906.13173289828796</v>
      </c>
      <c r="S12" s="22">
        <f>IFERROR((s_TR/(s_RadSpec!K12*s_EF_ow*(1/365)*s_ED_out*s_RadSpec!P12*(s_ET_ow_o+s_ET_ow_i)*(1/24)*s_RadSpec!U12))*1,".")</f>
        <v>9878.1149289878067</v>
      </c>
      <c r="T12" s="43">
        <f>s_C*s_EF_ow*(1/365)*s_ED_out*(s_ET_ow_o+s_ET_ow_i)*(1/24)*s_RadSpec!V12*s_RadSpec!Q12*1</f>
        <v>0.14028775593491805</v>
      </c>
      <c r="U12" s="43">
        <f>s_C*s_EF_ow*(1/365)*s_ED_out*(s_ET_ow_o+s_ET_ow_i)*(1/24)*s_RadSpec!W12*s_RadSpec!R12*1</f>
        <v>7.8195507655116833E-2</v>
      </c>
      <c r="V12" s="43">
        <f>s_C*s_EF_ow*(1/365)*s_ED_out*(s_ET_ow_o+s_ET_ow_i)*(1/24)*s_RadSpec!X12*s_RadSpec!S12*1</f>
        <v>0.10784283699001379</v>
      </c>
      <c r="W12" s="43">
        <f>s_C*s_EF_ow*(1/365)*s_ED_out*(s_ET_ow_o+s_ET_ow_i)*(1/24)*s_RadSpec!Y12*s_RadSpec!T12*1</f>
        <v>0.12211303024286947</v>
      </c>
      <c r="X12" s="43">
        <f>s_C*s_EF_ow*(1/365)*s_ED_out*(s_ET_ow_o+s_ET_ow_i)*(1/24)*s_RadSpec!U12*s_RadSpec!P12*1</f>
        <v>4.5297924195310535E-2</v>
      </c>
      <c r="Y12" s="11"/>
      <c r="Z12" s="11"/>
      <c r="AA12" s="11"/>
      <c r="AB12" s="11"/>
      <c r="AC12" s="11"/>
      <c r="AD12" s="22" t="str">
        <f>IFERROR(s_TR/(s_RadSpec!G12*s_EF_ow*s_ED_out*(s_ET_ow_o+s_ET_ow_i)*(1/24)*s_IRA_ow),".")</f>
        <v>.</v>
      </c>
      <c r="AE12" s="22">
        <f>IFERROR(s_TR/(s_RadSpec!J12*s_EF_ow*(1/365)*s_ED_out*(s_ET_ow_o+s_ET_ow_i)*(1/24)*s_GSF_a),".")</f>
        <v>64191.391646398297</v>
      </c>
      <c r="AF12" s="22">
        <f t="shared" si="6"/>
        <v>64191.391646398297</v>
      </c>
      <c r="AG12" s="43">
        <f t="shared" si="4"/>
        <v>34375</v>
      </c>
      <c r="AH12" s="43">
        <f t="shared" si="5"/>
        <v>1.5696347031963471</v>
      </c>
      <c r="AI12" s="10"/>
      <c r="AJ12" s="10"/>
      <c r="AK12" s="10"/>
    </row>
    <row r="13" spans="1:37" x14ac:dyDescent="0.25">
      <c r="A13" s="23" t="s">
        <v>23</v>
      </c>
      <c r="B13" s="24" t="s">
        <v>289</v>
      </c>
      <c r="C13" s="2"/>
      <c r="D13" s="22">
        <f>IFERROR((s_TR/(s_RadSpec!I13*s_EF_ow*s_ED_out*s_IRS_ow*(1/1000)))*1,".")</f>
        <v>7738.5904157557707</v>
      </c>
      <c r="E13" s="22">
        <f>IFERROR(IF(A13="H-3",(s_TR/(s_RadSpec!G13*s_EF_ow*s_ED_out*(s_ET_ow_o+s_ET_ow_i)*(1/24)*s_IRA_ow*(1/17)*1000))*1,(s_TR/(s_RadSpec!G13*s_EF_ow*s_ED_out*(s_ET_ow_o+s_ET_ow_i)*(1/24)*s_IRA_ow*(1/s_PEF_wind)*1000))*1),".")</f>
        <v>15736.760399221832</v>
      </c>
      <c r="F13" s="22">
        <f>IFERROR((s_TR/(s_RadSpec!F13*s_EF_ow*(1/365)*s_ED_out*s_RadSpec!Q13*(s_ET_ow_o+s_ET_ow_i)*(1/24)*s_RadSpec!V13))*1,".")</f>
        <v>52962.293819483144</v>
      </c>
      <c r="G13" s="22">
        <f t="shared" si="0"/>
        <v>4724.7962601625859</v>
      </c>
      <c r="H13" s="43">
        <f t="shared" si="1"/>
        <v>137.5</v>
      </c>
      <c r="I13" s="43">
        <f t="shared" si="2"/>
        <v>0.11080293013295324</v>
      </c>
      <c r="J13" s="43">
        <f>s_C*s_EF_ow*(1/365)*s_ED_out*(s_ET_ow_o+s_ET_ow_i)*(1/24)*s_RadSpec!V13*s_RadSpec!Q13*1</f>
        <v>1.8251299870012987E-2</v>
      </c>
      <c r="K13" s="4"/>
      <c r="L13" s="4"/>
      <c r="M13" s="4"/>
      <c r="N13" s="4"/>
      <c r="O13" s="22">
        <f>IFERROR((s_TR/(s_RadSpec!F13*s_EF_ow*(1/365)*s_ED_out*s_RadSpec!Q13*(s_ET_ow_o+s_ET_ow_i)*(1/24)*s_RadSpec!V13))*1,".")</f>
        <v>52962.293819483144</v>
      </c>
      <c r="P13" s="22">
        <f>IFERROR((s_TR/(s_RadSpec!M13*s_EF_ow*(1/365)*s_ED_out*s_RadSpec!R13*(s_ET_ow_o+s_ET_ow_i)*(1/24)*s_RadSpec!W13))*1,".")</f>
        <v>344321.15228614345</v>
      </c>
      <c r="Q13" s="22">
        <f>IFERROR((s_TR/(s_RadSpec!N13*s_EF_ow*(1/365)*s_ED_out*s_RadSpec!S13*(s_ET_ow_o+s_ET_ow_i)*(1/24)*s_RadSpec!X13))*1,".")</f>
        <v>85965.587252885904</v>
      </c>
      <c r="R13" s="22">
        <f>IFERROR((s_TR/(s_RadSpec!O13*s_EF_ow*(1/365)*s_ED_out*s_RadSpec!T13*(s_ET_ow_o+s_ET_ow_i)*(1/24)*s_RadSpec!Y13))*1,".")</f>
        <v>56901.724804873505</v>
      </c>
      <c r="S13" s="22">
        <f>IFERROR((s_TR/(s_RadSpec!K13*s_EF_ow*(1/365)*s_ED_out*s_RadSpec!P13*(s_ET_ow_o+s_ET_ow_i)*(1/24)*s_RadSpec!U13))*1,".")</f>
        <v>2734674.8104980662</v>
      </c>
      <c r="T13" s="43">
        <f>s_C*s_EF_ow*(1/365)*s_ED_out*(s_ET_ow_o+s_ET_ow_i)*(1/24)*s_RadSpec!V13*s_RadSpec!Q13*1</f>
        <v>1.8251299870012987E-2</v>
      </c>
      <c r="U13" s="43">
        <f>s_C*s_EF_ow*(1/365)*s_ED_out*(s_ET_ow_o+s_ET_ow_i)*(1/24)*s_RadSpec!W13*s_RadSpec!R13*1</f>
        <v>8.3691586515107358E-3</v>
      </c>
      <c r="V13" s="43">
        <f>s_C*s_EF_ow*(1/365)*s_ED_out*(s_ET_ow_o+s_ET_ow_i)*(1/24)*s_RadSpec!X13*s_RadSpec!S13*1</f>
        <v>1.4087288945524058E-2</v>
      </c>
      <c r="W13" s="43">
        <f>s_C*s_EF_ow*(1/365)*s_ED_out*(s_ET_ow_o+s_ET_ow_i)*(1/24)*s_RadSpec!Y13*s_RadSpec!T13*1</f>
        <v>1.7064764246776495E-2</v>
      </c>
      <c r="X13" s="43">
        <f>s_C*s_EF_ow*(1/365)*s_ED_out*(s_ET_ow_o+s_ET_ow_i)*(1/24)*s_RadSpec!U13*s_RadSpec!P13*1</f>
        <v>8.6993362519418205E-4</v>
      </c>
      <c r="Y13" s="11"/>
      <c r="Z13" s="11"/>
      <c r="AA13" s="11"/>
      <c r="AB13" s="11"/>
      <c r="AC13" s="11"/>
      <c r="AD13" s="22">
        <f>IFERROR(s_TR/(s_RadSpec!G13*s_EF_ow*s_ED_out*(s_ET_ow_o+s_ET_ow_i)*(1/24)*s_IRA_ow),".")</f>
        <v>5.0725212015534607E-2</v>
      </c>
      <c r="AE13" s="22">
        <f>IFERROR(s_TR/(s_RadSpec!J13*s_EF_ow*(1/365)*s_ED_out*(s_ET_ow_o+s_ET_ow_i)*(1/24)*s_GSF_a),".")</f>
        <v>415241.11795615341</v>
      </c>
      <c r="AF13" s="22">
        <f t="shared" si="6"/>
        <v>5.0725205819022005E-2</v>
      </c>
      <c r="AG13" s="43">
        <f t="shared" si="4"/>
        <v>34375</v>
      </c>
      <c r="AH13" s="43">
        <f t="shared" si="5"/>
        <v>1.5696347031963471</v>
      </c>
      <c r="AI13" s="10"/>
      <c r="AJ13" s="10"/>
      <c r="AK13" s="10"/>
    </row>
    <row r="14" spans="1:37" x14ac:dyDescent="0.25">
      <c r="A14" s="23" t="s">
        <v>24</v>
      </c>
      <c r="B14" s="24" t="s">
        <v>289</v>
      </c>
      <c r="C14" s="2"/>
      <c r="D14" s="22">
        <f>IFERROR((s_TR/(s_RadSpec!I14*s_EF_ow*s_ED_out*s_IRS_ow*(1/1000)))*1,".")</f>
        <v>140802.43306604339</v>
      </c>
      <c r="E14" s="22">
        <f>IFERROR(IF(A14="H-3",(s_TR/(s_RadSpec!G14*s_EF_ow*s_ED_out*(s_ET_ow_o+s_ET_ow_i)*(1/24)*s_IRA_ow*(1/17)*1000))*1,(s_TR/(s_RadSpec!G14*s_EF_ow*s_ED_out*(s_ET_ow_o+s_ET_ow_i)*(1/24)*s_IRA_ow*(1/s_PEF_wind)*1000))*1),".")</f>
        <v>29530240.458588183</v>
      </c>
      <c r="F14" s="22">
        <f>IFERROR((s_TR/(s_RadSpec!F14*s_EF_ow*(1/365)*s_ED_out*s_RadSpec!Q14*(s_ET_ow_o+s_ET_ow_i)*(1/24)*s_RadSpec!V14))*1,".")</f>
        <v>511.93253233970188</v>
      </c>
      <c r="G14" s="22">
        <f t="shared" si="0"/>
        <v>510.06916932382467</v>
      </c>
      <c r="H14" s="43">
        <f t="shared" si="1"/>
        <v>137.5</v>
      </c>
      <c r="I14" s="43">
        <f t="shared" si="2"/>
        <v>0.11080293013295324</v>
      </c>
      <c r="J14" s="43">
        <f>s_C*s_EF_ow*(1/365)*s_ED_out*(s_ET_ow_o+s_ET_ow_i)*(1/24)*s_RadSpec!V14*s_RadSpec!Q14*1</f>
        <v>0.12158028187565867</v>
      </c>
      <c r="K14" s="4"/>
      <c r="L14" s="4"/>
      <c r="M14" s="4"/>
      <c r="N14" s="4"/>
      <c r="O14" s="22">
        <f>IFERROR((s_TR/(s_RadSpec!F14*s_EF_ow*(1/365)*s_ED_out*s_RadSpec!Q14*(s_ET_ow_o+s_ET_ow_i)*(1/24)*s_RadSpec!V14))*1,".")</f>
        <v>511.93253233970188</v>
      </c>
      <c r="P14" s="22">
        <f>IFERROR((s_TR/(s_RadSpec!M14*s_EF_ow*(1/365)*s_ED_out*s_RadSpec!R14*(s_ET_ow_o+s_ET_ow_i)*(1/24)*s_RadSpec!W14))*1,".")</f>
        <v>3919.4180488247334</v>
      </c>
      <c r="Q14" s="22">
        <f>IFERROR((s_TR/(s_RadSpec!N14*s_EF_ow*(1/365)*s_ED_out*s_RadSpec!S14*(s_ET_ow_o+s_ET_ow_i)*(1/24)*s_RadSpec!X14))*1,".")</f>
        <v>1055.6260049413058</v>
      </c>
      <c r="R14" s="22">
        <f>IFERROR((s_TR/(s_RadSpec!O14*s_EF_ow*(1/365)*s_ED_out*s_RadSpec!T14*(s_ET_ow_o+s_ET_ow_i)*(1/24)*s_RadSpec!Y14))*1,".")</f>
        <v>636.58769357939536</v>
      </c>
      <c r="S14" s="22">
        <f>IFERROR((s_TR/(s_RadSpec!K14*s_EF_ow*(1/365)*s_ED_out*s_RadSpec!P14*(s_ET_ow_o+s_ET_ow_i)*(1/24)*s_RadSpec!U14))*1,".")</f>
        <v>11085.671084088766</v>
      </c>
      <c r="T14" s="43">
        <f>s_C*s_EF_ow*(1/365)*s_ED_out*(s_ET_ow_o+s_ET_ow_i)*(1/24)*s_RadSpec!V14*s_RadSpec!Q14*1</f>
        <v>0.12158028187565867</v>
      </c>
      <c r="U14" s="43">
        <f>s_C*s_EF_ow*(1/365)*s_ED_out*(s_ET_ow_o+s_ET_ow_i)*(1/24)*s_RadSpec!W14*s_RadSpec!R14*1</f>
        <v>6.6945682049917951E-2</v>
      </c>
      <c r="V14" s="43">
        <f>s_C*s_EF_ow*(1/365)*s_ED_out*(s_ET_ow_o+s_ET_ow_i)*(1/24)*s_RadSpec!X14*s_RadSpec!S14*1</f>
        <v>9.0547448878300518E-2</v>
      </c>
      <c r="W14" s="43">
        <f>s_C*s_EF_ow*(1/365)*s_ED_out*(s_ET_ow_o+s_ET_ow_i)*(1/24)*s_RadSpec!Y14*s_RadSpec!T14*1</f>
        <v>0.1033296803652968</v>
      </c>
      <c r="X14" s="43">
        <f>s_C*s_EF_ow*(1/365)*s_ED_out*(s_ET_ow_o+s_ET_ow_i)*(1/24)*s_RadSpec!U14*s_RadSpec!P14*1</f>
        <v>2.3992552201090568E-2</v>
      </c>
      <c r="Y14" s="11"/>
      <c r="Z14" s="11"/>
      <c r="AA14" s="11"/>
      <c r="AB14" s="11"/>
      <c r="AC14" s="11"/>
      <c r="AD14" s="22">
        <f>IFERROR(s_TR/(s_RadSpec!G14*s_EF_ow*s_ED_out*(s_ET_ow_o+s_ET_ow_i)*(1/24)*s_IRA_ow),".")</f>
        <v>95.186535864501977</v>
      </c>
      <c r="AE14" s="22">
        <f>IFERROR(s_TR/(s_RadSpec!J14*s_EF_ow*(1/365)*s_ED_out*(s_ET_ow_o+s_ET_ow_i)*(1/24)*s_GSF_a),".")</f>
        <v>37320.576538603658</v>
      </c>
      <c r="AF14" s="22">
        <f t="shared" si="6"/>
        <v>94.944379194013891</v>
      </c>
      <c r="AG14" s="43">
        <f t="shared" si="4"/>
        <v>34375</v>
      </c>
      <c r="AH14" s="43">
        <f t="shared" si="5"/>
        <v>1.5696347031963471</v>
      </c>
      <c r="AI14" s="10"/>
      <c r="AJ14" s="10"/>
      <c r="AK14" s="10"/>
    </row>
    <row r="15" spans="1:37" x14ac:dyDescent="0.25">
      <c r="A15" s="23" t="s">
        <v>25</v>
      </c>
      <c r="B15" s="24" t="s">
        <v>289</v>
      </c>
      <c r="C15" s="2"/>
      <c r="D15" s="22">
        <f>IFERROR((s_TR/(s_RadSpec!I15*s_EF_ow*s_ED_out*s_IRS_ow*(1/1000)))*1,".")</f>
        <v>2978184.7963666143</v>
      </c>
      <c r="E15" s="22">
        <f>IFERROR(IF(A15="H-3",(s_TR/(s_RadSpec!G15*s_EF_ow*s_ED_out*(s_ET_ow_o+s_ET_ow_i)*(1/24)*s_IRA_ow*(1/17)*1000))*1,(s_TR/(s_RadSpec!G15*s_EF_ow*s_ED_out*(s_ET_ow_o+s_ET_ow_i)*(1/24)*s_IRA_ow*(1/s_PEF_wind)*1000))*1),".")</f>
        <v>2170104859.3232956</v>
      </c>
      <c r="F15" s="22" t="str">
        <f>IFERROR((s_TR/(s_RadSpec!F15*s_EF_ow*(1/365)*s_ED_out*s_RadSpec!Q15*(s_ET_ow_o+s_ET_ow_i)*(1/24)*s_RadSpec!V15))*1,".")</f>
        <v>.</v>
      </c>
      <c r="G15" s="22">
        <f t="shared" si="0"/>
        <v>2974103.2290720232</v>
      </c>
      <c r="H15" s="43">
        <f t="shared" si="1"/>
        <v>137.5</v>
      </c>
      <c r="I15" s="43">
        <f t="shared" si="2"/>
        <v>0.11080293013295324</v>
      </c>
      <c r="J15" s="43">
        <f>s_C*s_EF_ow*(1/365)*s_ED_out*(s_ET_ow_o+s_ET_ow_i)*(1/24)*s_RadSpec!V15*s_RadSpec!Q15*1</f>
        <v>0</v>
      </c>
      <c r="K15" s="4"/>
      <c r="L15" s="4"/>
      <c r="M15" s="4"/>
      <c r="N15" s="4"/>
      <c r="O15" s="22" t="str">
        <f>IFERROR((s_TR/(s_RadSpec!F15*s_EF_ow*(1/365)*s_ED_out*s_RadSpec!Q15*(s_ET_ow_o+s_ET_ow_i)*(1/24)*s_RadSpec!V15))*1,".")</f>
        <v>.</v>
      </c>
      <c r="P15" s="22" t="str">
        <f>IFERROR((s_TR/(s_RadSpec!M15*s_EF_ow*(1/365)*s_ED_out*s_RadSpec!R15*(s_ET_ow_o+s_ET_ow_i)*(1/24)*s_RadSpec!W15))*1,".")</f>
        <v>.</v>
      </c>
      <c r="Q15" s="22" t="str">
        <f>IFERROR((s_TR/(s_RadSpec!N15*s_EF_ow*(1/365)*s_ED_out*s_RadSpec!S15*(s_ET_ow_o+s_ET_ow_i)*(1/24)*s_RadSpec!X15))*1,".")</f>
        <v>.</v>
      </c>
      <c r="R15" s="22" t="str">
        <f>IFERROR((s_TR/(s_RadSpec!O15*s_EF_ow*(1/365)*s_ED_out*s_RadSpec!T15*(s_ET_ow_o+s_ET_ow_i)*(1/24)*s_RadSpec!Y15))*1,".")</f>
        <v>.</v>
      </c>
      <c r="S15" s="22" t="str">
        <f>IFERROR((s_TR/(s_RadSpec!K15*s_EF_ow*(1/365)*s_ED_out*s_RadSpec!P15*(s_ET_ow_o+s_ET_ow_i)*(1/24)*s_RadSpec!U15))*1,".")</f>
        <v>.</v>
      </c>
      <c r="T15" s="43">
        <f>s_C*s_EF_ow*(1/365)*s_ED_out*(s_ET_ow_o+s_ET_ow_i)*(1/24)*s_RadSpec!V15*s_RadSpec!Q15*1</f>
        <v>0</v>
      </c>
      <c r="U15" s="43">
        <f>s_C*s_EF_ow*(1/365)*s_ED_out*(s_ET_ow_o+s_ET_ow_i)*(1/24)*s_RadSpec!W15*s_RadSpec!R15*1</f>
        <v>0</v>
      </c>
      <c r="V15" s="43">
        <f>s_C*s_EF_ow*(1/365)*s_ED_out*(s_ET_ow_o+s_ET_ow_i)*(1/24)*s_RadSpec!X15*s_RadSpec!S15*1</f>
        <v>0</v>
      </c>
      <c r="W15" s="43">
        <f>s_C*s_EF_ow*(1/365)*s_ED_out*(s_ET_ow_o+s_ET_ow_i)*(1/24)*s_RadSpec!Y15*s_RadSpec!T15*1</f>
        <v>0</v>
      </c>
      <c r="X15" s="43">
        <f>s_C*s_EF_ow*(1/365)*s_ED_out*(s_ET_ow_o+s_ET_ow_i)*(1/24)*s_RadSpec!U15*s_RadSpec!P15*1</f>
        <v>0</v>
      </c>
      <c r="Y15" s="11"/>
      <c r="Z15" s="11"/>
      <c r="AA15" s="11"/>
      <c r="AB15" s="11"/>
      <c r="AC15" s="11"/>
      <c r="AD15" s="22">
        <f>IFERROR(s_TR/(s_RadSpec!G15*s_EF_ow*s_ED_out*(s_ET_ow_o+s_ET_ow_i)*(1/24)*s_IRA_ow),".")</f>
        <v>6995.0247886190973</v>
      </c>
      <c r="AE15" s="22">
        <f>IFERROR(s_TR/(s_RadSpec!J15*s_EF_ow*(1/365)*s_ED_out*(s_ET_ow_o+s_ET_ow_i)*(1/24)*s_GSF_a),".")</f>
        <v>18685850.308026899</v>
      </c>
      <c r="AF15" s="22">
        <f t="shared" si="6"/>
        <v>6992.4071896970381</v>
      </c>
      <c r="AG15" s="43">
        <f t="shared" si="4"/>
        <v>34375</v>
      </c>
      <c r="AH15" s="43">
        <f t="shared" si="5"/>
        <v>1.5696347031963471</v>
      </c>
      <c r="AI15" s="10"/>
      <c r="AJ15" s="10"/>
      <c r="AK15" s="10"/>
    </row>
    <row r="16" spans="1:37" x14ac:dyDescent="0.25">
      <c r="A16" s="23" t="s">
        <v>26</v>
      </c>
      <c r="B16" s="24" t="s">
        <v>289</v>
      </c>
      <c r="C16" s="109"/>
      <c r="D16" s="22">
        <f>IFERROR((s_TR/(s_RadSpec!I16*s_EF_ow*s_ED_out*s_IRS_ow*(1/1000)))*1,".")</f>
        <v>606.6672733339401</v>
      </c>
      <c r="E16" s="22">
        <f>IFERROR(IF(A16="H-3",(s_TR/(s_RadSpec!G16*s_EF_ow*s_ED_out*(s_ET_ow_o+s_ET_ow_i)*(1/24)*s_IRA_ow*(1/17)*1000))*1,(s_TR/(s_RadSpec!G16*s_EF_ow*s_ED_out*(s_ET_ow_o+s_ET_ow_i)*(1/24)*s_IRA_ow*(1/s_PEF_wind)*1000))*1),".")</f>
        <v>28428.879509083727</v>
      </c>
      <c r="F16" s="22">
        <f>IFERROR((s_TR/(s_RadSpec!F16*s_EF_ow*(1/365)*s_ED_out*s_RadSpec!Q16*(s_ET_ow_o+s_ET_ow_i)*(1/24)*s_RadSpec!V16))*1,".")</f>
        <v>2579238396.942708</v>
      </c>
      <c r="G16" s="22">
        <f t="shared" si="0"/>
        <v>593.99146064134425</v>
      </c>
      <c r="H16" s="43">
        <f t="shared" si="1"/>
        <v>137.5</v>
      </c>
      <c r="I16" s="43">
        <f t="shared" si="2"/>
        <v>0.11080293013295324</v>
      </c>
      <c r="J16" s="43">
        <f>s_C*s_EF_ow*(1/365)*s_ED_out*(s_ET_ow_o+s_ET_ow_i)*(1/24)*s_RadSpec!V16*s_RadSpec!Q16*1</f>
        <v>1.3072814742335285E-5</v>
      </c>
      <c r="K16" s="4"/>
      <c r="L16" s="4"/>
      <c r="M16" s="4"/>
      <c r="N16" s="4"/>
      <c r="O16" s="22">
        <f>IFERROR((s_TR/(s_RadSpec!F16*s_EF_ow*(1/365)*s_ED_out*s_RadSpec!Q16*(s_ET_ow_o+s_ET_ow_i)*(1/24)*s_RadSpec!V16))*1,".")</f>
        <v>2579238396.942708</v>
      </c>
      <c r="P16" s="22">
        <f>IFERROR((s_TR/(s_RadSpec!M16*s_EF_ow*(1/365)*s_ED_out*s_RadSpec!R16*(s_ET_ow_o+s_ET_ow_i)*(1/24)*s_RadSpec!W16))*1,".")</f>
        <v>7149251915.5073071</v>
      </c>
      <c r="Q16" s="22">
        <f>IFERROR((s_TR/(s_RadSpec!N16*s_EF_ow*(1/365)*s_ED_out*s_RadSpec!S16*(s_ET_ow_o+s_ET_ow_i)*(1/24)*s_RadSpec!X16))*1,".")</f>
        <v>2790278935.7777948</v>
      </c>
      <c r="R16" s="22">
        <f>IFERROR((s_TR/(s_RadSpec!O16*s_EF_ow*(1/365)*s_ED_out*s_RadSpec!T16*(s_ET_ow_o+s_ET_ow_i)*(1/24)*s_RadSpec!Y16))*1,".")</f>
        <v>2773778206.345232</v>
      </c>
      <c r="S16" s="22">
        <f>IFERROR((s_TR/(s_RadSpec!K16*s_EF_ow*(1/365)*s_ED_out*s_RadSpec!P16*(s_ET_ow_o+s_ET_ow_i)*(1/24)*s_RadSpec!U16))*1,".")</f>
        <v>92793678400.405716</v>
      </c>
      <c r="T16" s="43">
        <f>s_C*s_EF_ow*(1/365)*s_ED_out*(s_ET_ow_o+s_ET_ow_i)*(1/24)*s_RadSpec!V16*s_RadSpec!Q16*1</f>
        <v>1.3072814742335285E-5</v>
      </c>
      <c r="U16" s="43">
        <f>s_C*s_EF_ow*(1/365)*s_ED_out*(s_ET_ow_o+s_ET_ow_i)*(1/24)*s_RadSpec!W16*s_RadSpec!R16*1</f>
        <v>7.3402956734029545E-6</v>
      </c>
      <c r="V16" s="43">
        <f>s_C*s_EF_ow*(1/365)*s_ED_out*(s_ET_ow_o+s_ET_ow_i)*(1/24)*s_RadSpec!X16*s_RadSpec!S16*1</f>
        <v>1.2218757713192641E-5</v>
      </c>
      <c r="W16" s="43">
        <f>s_C*s_EF_ow*(1/365)*s_ED_out*(s_ET_ow_o+s_ET_ow_i)*(1/24)*s_RadSpec!Y16*s_RadSpec!T16*1</f>
        <v>1.2155948756976148E-5</v>
      </c>
      <c r="X16" s="43">
        <f>s_C*s_EF_ow*(1/365)*s_ED_out*(s_ET_ow_o+s_ET_ow_i)*(1/24)*s_RadSpec!U16*s_RadSpec!P16*1</f>
        <v>3.1392694063926939E-7</v>
      </c>
      <c r="Y16" s="11"/>
      <c r="Z16" s="11"/>
      <c r="AA16" s="11"/>
      <c r="AB16" s="11"/>
      <c r="AC16" s="11"/>
      <c r="AD16" s="22">
        <f>IFERROR(s_TR/(s_RadSpec!G16*s_EF_ow*s_ED_out*(s_ET_ow_o+s_ET_ow_i)*(1/24)*s_IRA_ow),".")</f>
        <v>9.1636455272818912E-2</v>
      </c>
      <c r="AE16" s="22">
        <f>IFERROR(s_TR/(s_RadSpec!J16*s_EF_ow*(1/365)*s_ED_out*(s_ET_ow_o+s_ET_ow_i)*(1/24)*s_GSF_a),".")</f>
        <v>8095353.5459107636</v>
      </c>
      <c r="AF16" s="22">
        <f t="shared" si="6"/>
        <v>9.1636454235527603E-2</v>
      </c>
      <c r="AG16" s="43">
        <f t="shared" si="4"/>
        <v>34375</v>
      </c>
      <c r="AH16" s="43">
        <f t="shared" si="5"/>
        <v>1.5696347031963471</v>
      </c>
      <c r="AI16" s="10"/>
      <c r="AJ16" s="10"/>
      <c r="AK16" s="10"/>
    </row>
    <row r="17" spans="1:37" x14ac:dyDescent="0.25">
      <c r="A17" s="23" t="s">
        <v>27</v>
      </c>
      <c r="B17" s="24" t="s">
        <v>289</v>
      </c>
      <c r="C17" s="109"/>
      <c r="D17" s="22">
        <f>IFERROR((s_TR/(s_RadSpec!I17*s_EF_ow*s_ED_out*s_IRS_ow*(1/1000)))*1,".")</f>
        <v>1648994.9375855415</v>
      </c>
      <c r="E17" s="22">
        <f>IFERROR(IF(A17="H-3",(s_TR/(s_RadSpec!G17*s_EF_ow*s_ED_out*(s_ET_ow_o+s_ET_ow_i)*(1/24)*s_IRA_ow*(1/17)*1000))*1,(s_TR/(s_RadSpec!G17*s_EF_ow*s_ED_out*(s_ET_ow_o+s_ET_ow_i)*(1/24)*s_IRA_ow*(1/s_PEF_wind)*1000))*1),".")</f>
        <v>5807613.9568556743</v>
      </c>
      <c r="F17" s="22">
        <f>IFERROR((s_TR/(s_RadSpec!F17*s_EF_ow*(1/365)*s_ED_out*s_RadSpec!Q17*(s_ET_ow_o+s_ET_ow_i)*(1/24)*s_RadSpec!V17))*1,".")</f>
        <v>353.88679830087409</v>
      </c>
      <c r="G17" s="22">
        <f t="shared" si="0"/>
        <v>353.78931429322313</v>
      </c>
      <c r="H17" s="43">
        <f t="shared" si="1"/>
        <v>137.5</v>
      </c>
      <c r="I17" s="43">
        <f t="shared" si="2"/>
        <v>0.11080293013295324</v>
      </c>
      <c r="J17" s="43">
        <f>s_C*s_EF_ow*(1/365)*s_ED_out*(s_ET_ow_o+s_ET_ow_i)*(1/24)*s_RadSpec!V17*s_RadSpec!Q17*1</f>
        <v>0.14219043781896329</v>
      </c>
      <c r="K17" s="4"/>
      <c r="L17" s="4"/>
      <c r="M17" s="4"/>
      <c r="N17" s="4"/>
      <c r="O17" s="22">
        <f>IFERROR((s_TR/(s_RadSpec!F17*s_EF_ow*(1/365)*s_ED_out*s_RadSpec!Q17*(s_ET_ow_o+s_ET_ow_i)*(1/24)*s_RadSpec!V17))*1,".")</f>
        <v>353.88679830087409</v>
      </c>
      <c r="P17" s="22">
        <f>IFERROR((s_TR/(s_RadSpec!M17*s_EF_ow*(1/365)*s_ED_out*s_RadSpec!R17*(s_ET_ow_o+s_ET_ow_i)*(1/24)*s_RadSpec!W17))*1,".")</f>
        <v>2718.6776987846765</v>
      </c>
      <c r="Q17" s="22">
        <f>IFERROR((s_TR/(s_RadSpec!N17*s_EF_ow*(1/365)*s_ED_out*s_RadSpec!S17*(s_ET_ow_o+s_ET_ow_i)*(1/24)*s_RadSpec!X17))*1,".")</f>
        <v>735.43979522241784</v>
      </c>
      <c r="R17" s="22">
        <f>IFERROR((s_TR/(s_RadSpec!O17*s_EF_ow*(1/365)*s_ED_out*s_RadSpec!T17*(s_ET_ow_o+s_ET_ow_i)*(1/24)*s_RadSpec!Y17))*1,".")</f>
        <v>442.43911409036474</v>
      </c>
      <c r="S17" s="22">
        <f>IFERROR((s_TR/(s_RadSpec!K17*s_EF_ow*(1/365)*s_ED_out*s_RadSpec!P17*(s_ET_ow_o+s_ET_ow_i)*(1/24)*s_RadSpec!U17))*1,".")</f>
        <v>5280.26920460171</v>
      </c>
      <c r="T17" s="43">
        <f>s_C*s_EF_ow*(1/365)*s_ED_out*(s_ET_ow_o+s_ET_ow_i)*(1/24)*s_RadSpec!V17*s_RadSpec!Q17*1</f>
        <v>0.14219043781896329</v>
      </c>
      <c r="U17" s="43">
        <f>s_C*s_EF_ow*(1/365)*s_ED_out*(s_ET_ow_o+s_ET_ow_i)*(1/24)*s_RadSpec!W17*s_RadSpec!R17*1</f>
        <v>8.1358182011256233E-2</v>
      </c>
      <c r="V17" s="43">
        <f>s_C*s_EF_ow*(1/365)*s_ED_out*(s_ET_ow_o+s_ET_ow_i)*(1/24)*s_RadSpec!X17*s_RadSpec!S17*1</f>
        <v>0.10798596247146118</v>
      </c>
      <c r="W17" s="43">
        <f>s_C*s_EF_ow*(1/365)*s_ED_out*(s_ET_ow_o+s_ET_ow_i)*(1/24)*s_RadSpec!Y17*s_RadSpec!T17*1</f>
        <v>0.1214374048706241</v>
      </c>
      <c r="X17" s="43">
        <f>s_C*s_EF_ow*(1/365)*s_ED_out*(s_ET_ow_o+s_ET_ow_i)*(1/24)*s_RadSpec!U17*s_RadSpec!P17*1</f>
        <v>4.2459500538710178E-2</v>
      </c>
      <c r="Y17" s="11"/>
      <c r="Z17" s="11"/>
      <c r="AA17" s="11"/>
      <c r="AB17" s="11"/>
      <c r="AC17" s="11"/>
      <c r="AD17" s="22">
        <f>IFERROR(s_TR/(s_RadSpec!G17*s_EF_ow*s_ED_out*(s_ET_ow_o+s_ET_ow_i)*(1/24)*s_IRA_ow),".")</f>
        <v>18.720018720018718</v>
      </c>
      <c r="AE17" s="22">
        <f>IFERROR(s_TR/(s_RadSpec!J17*s_EF_ow*(1/365)*s_ED_out*(s_ET_ow_o+s_ET_ow_i)*(1/24)*s_GSF_a),".")</f>
        <v>31250.104753401229</v>
      </c>
      <c r="AF17" s="22">
        <f t="shared" si="6"/>
        <v>18.708811419986439</v>
      </c>
      <c r="AG17" s="43">
        <f t="shared" si="4"/>
        <v>34375</v>
      </c>
      <c r="AH17" s="43">
        <f t="shared" si="5"/>
        <v>1.5696347031963471</v>
      </c>
      <c r="AI17" s="10"/>
      <c r="AJ17" s="10"/>
      <c r="AK17" s="10"/>
    </row>
    <row r="18" spans="1:37" x14ac:dyDescent="0.25">
      <c r="A18" s="23" t="s">
        <v>28</v>
      </c>
      <c r="B18" s="24" t="s">
        <v>289</v>
      </c>
      <c r="C18" s="109"/>
      <c r="D18" s="22">
        <f>IFERROR((s_TR/(s_RadSpec!I18*s_EF_ow*s_ED_out*s_IRS_ow*(1/1000)))*1,".")</f>
        <v>253.29922237138732</v>
      </c>
      <c r="E18" s="22">
        <f>IFERROR(IF(A18="H-3",(s_TR/(s_RadSpec!G18*s_EF_ow*s_ED_out*(s_ET_ow_o+s_ET_ow_i)*(1/24)*s_IRA_ow*(1/17)*1000))*1,(s_TR/(s_RadSpec!G18*s_EF_ow*s_ED_out*(s_ET_ow_o+s_ET_ow_i)*(1/24)*s_IRA_ow*(1/s_PEF_wind)*1000))*1),".")</f>
        <v>31112.217626012549</v>
      </c>
      <c r="F18" s="22">
        <f>IFERROR((s_TR/(s_RadSpec!F18*s_EF_ow*(1/365)*s_ED_out*s_RadSpec!Q18*(s_ET_ow_o+s_ET_ow_i)*(1/24)*s_RadSpec!V18))*1,".")</f>
        <v>3973669.4583399002</v>
      </c>
      <c r="G18" s="22">
        <f t="shared" si="0"/>
        <v>251.23776237258681</v>
      </c>
      <c r="H18" s="43">
        <f t="shared" si="1"/>
        <v>137.5</v>
      </c>
      <c r="I18" s="43">
        <f t="shared" si="2"/>
        <v>0.11080293013295324</v>
      </c>
      <c r="J18" s="43">
        <f>s_C*s_EF_ow*(1/365)*s_ED_out*(s_ET_ow_o+s_ET_ow_i)*(1/24)*s_RadSpec!V18*s_RadSpec!Q18*1</f>
        <v>0.27918062176895375</v>
      </c>
      <c r="K18" s="4"/>
      <c r="L18" s="4"/>
      <c r="M18" s="4"/>
      <c r="N18" s="4"/>
      <c r="O18" s="22">
        <f>IFERROR((s_TR/(s_RadSpec!F18*s_EF_ow*(1/365)*s_ED_out*s_RadSpec!Q18*(s_ET_ow_o+s_ET_ow_i)*(1/24)*s_RadSpec!V18))*1,".")</f>
        <v>3973669.4583399002</v>
      </c>
      <c r="P18" s="22">
        <f>IFERROR((s_TR/(s_RadSpec!M18*s_EF_ow*(1/365)*s_ED_out*s_RadSpec!R18*(s_ET_ow_o+s_ET_ow_i)*(1/24)*s_RadSpec!W18))*1,".")</f>
        <v>39600952.955493495</v>
      </c>
      <c r="Q18" s="22">
        <f>IFERROR((s_TR/(s_RadSpec!N18*s_EF_ow*(1/365)*s_ED_out*s_RadSpec!S18*(s_ET_ow_o+s_ET_ow_i)*(1/24)*s_RadSpec!X18))*1,".")</f>
        <v>9767504.56023206</v>
      </c>
      <c r="R18" s="22">
        <f>IFERROR((s_TR/(s_RadSpec!O18*s_EF_ow*(1/365)*s_ED_out*s_RadSpec!T18*(s_ET_ow_o+s_ET_ow_i)*(1/24)*s_RadSpec!Y18))*1,".")</f>
        <v>5194512.4937339183</v>
      </c>
      <c r="S18" s="22">
        <f>IFERROR((s_TR/(s_RadSpec!K18*s_EF_ow*(1/365)*s_ED_out*s_RadSpec!P18*(s_ET_ow_o+s_ET_ow_i)*(1/24)*s_RadSpec!U18))*1,".")</f>
        <v>69247941.212073535</v>
      </c>
      <c r="T18" s="43">
        <f>s_C*s_EF_ow*(1/365)*s_ED_out*(s_ET_ow_o+s_ET_ow_i)*(1/24)*s_RadSpec!V18*s_RadSpec!Q18*1</f>
        <v>0.27918062176895375</v>
      </c>
      <c r="U18" s="43">
        <f>s_C*s_EF_ow*(1/365)*s_ED_out*(s_ET_ow_o+s_ET_ow_i)*(1/24)*s_RadSpec!W18*s_RadSpec!R18*1</f>
        <v>0.14109225682206314</v>
      </c>
      <c r="V18" s="43">
        <f>s_C*s_EF_ow*(1/365)*s_ED_out*(s_ET_ow_o+s_ET_ow_i)*(1/24)*s_RadSpec!X18*s_RadSpec!S18*1</f>
        <v>0.20147529461027694</v>
      </c>
      <c r="W18" s="43">
        <f>s_C*s_EF_ow*(1/365)*s_ED_out*(s_ET_ow_o+s_ET_ow_i)*(1/24)*s_RadSpec!Y18*s_RadSpec!T18*1</f>
        <v>0.24317550129045062</v>
      </c>
      <c r="X18" s="43">
        <f>s_C*s_EF_ow*(1/365)*s_ED_out*(s_ET_ow_o+s_ET_ow_i)*(1/24)*s_RadSpec!U18*s_RadSpec!P18*1</f>
        <v>8.3004411423264479E-2</v>
      </c>
      <c r="Y18" s="11"/>
      <c r="Z18" s="11"/>
      <c r="AA18" s="11"/>
      <c r="AB18" s="11"/>
      <c r="AC18" s="11"/>
      <c r="AD18" s="22">
        <f>IFERROR(s_TR/(s_RadSpec!G18*s_EF_ow*s_ED_out*(s_ET_ow_o+s_ET_ow_i)*(1/24)*s_IRA_ow),".")</f>
        <v>0.10028581457152887</v>
      </c>
      <c r="AE18" s="22">
        <f>IFERROR(s_TR/(s_RadSpec!J18*s_EF_ow*(1/365)*s_ED_out*(s_ET_ow_o+s_ET_ow_i)*(1/24)*s_GSF_a),".")</f>
        <v>762048643.84690726</v>
      </c>
      <c r="AF18" s="22">
        <f t="shared" si="6"/>
        <v>0.10028581455833123</v>
      </c>
      <c r="AG18" s="43">
        <f t="shared" si="4"/>
        <v>34375</v>
      </c>
      <c r="AH18" s="43">
        <f t="shared" si="5"/>
        <v>1.5696347031963471</v>
      </c>
      <c r="AI18" s="10"/>
      <c r="AJ18" s="10"/>
      <c r="AK18" s="10"/>
    </row>
    <row r="19" spans="1:37" x14ac:dyDescent="0.25">
      <c r="A19" s="23" t="s">
        <v>29</v>
      </c>
      <c r="B19" s="24" t="s">
        <v>289</v>
      </c>
      <c r="C19" s="2"/>
      <c r="D19" s="22" t="str">
        <f>IFERROR((s_TR/(s_RadSpec!I19*s_EF_ow*s_ED_out*s_IRS_ow*(1/1000)))*1,".")</f>
        <v>.</v>
      </c>
      <c r="E19" s="22" t="str">
        <f>IFERROR(IF(A19="H-3",(s_TR/(s_RadSpec!G19*s_EF_ow*s_ED_out*(s_ET_ow_o+s_ET_ow_i)*(1/24)*s_IRA_ow*(1/17)*1000))*1,(s_TR/(s_RadSpec!G19*s_EF_ow*s_ED_out*(s_ET_ow_o+s_ET_ow_i)*(1/24)*s_IRA_ow*(1/s_PEF_wind)*1000))*1),".")</f>
        <v>.</v>
      </c>
      <c r="F19" s="22">
        <f>IFERROR((s_TR/(s_RadSpec!F19*s_EF_ow*(1/365)*s_ED_out*s_RadSpec!Q19*(s_ET_ow_o+s_ET_ow_i)*(1/24)*s_RadSpec!V19))*1,".")</f>
        <v>1057511.897797381</v>
      </c>
      <c r="G19" s="22">
        <f t="shared" si="0"/>
        <v>1057511.897797381</v>
      </c>
      <c r="H19" s="43">
        <f t="shared" si="1"/>
        <v>137.5</v>
      </c>
      <c r="I19" s="43">
        <f t="shared" si="2"/>
        <v>0.11080293013295324</v>
      </c>
      <c r="J19" s="43">
        <f>s_C*s_EF_ow*(1/365)*s_ED_out*(s_ET_ow_o+s_ET_ow_i)*(1/24)*s_RadSpec!V19*s_RadSpec!Q19*1</f>
        <v>0.27360078277886496</v>
      </c>
      <c r="K19" s="4"/>
      <c r="L19" s="4"/>
      <c r="M19" s="4"/>
      <c r="N19" s="4"/>
      <c r="O19" s="22">
        <f>IFERROR((s_TR/(s_RadSpec!F19*s_EF_ow*(1/365)*s_ED_out*s_RadSpec!Q19*(s_ET_ow_o+s_ET_ow_i)*(1/24)*s_RadSpec!V19))*1,".")</f>
        <v>1057511.897797381</v>
      </c>
      <c r="P19" s="22">
        <f>IFERROR((s_TR/(s_RadSpec!M19*s_EF_ow*(1/365)*s_ED_out*s_RadSpec!R19*(s_ET_ow_o+s_ET_ow_i)*(1/24)*s_RadSpec!W19))*1,".")</f>
        <v>10487364.458487926</v>
      </c>
      <c r="Q19" s="22">
        <f>IFERROR((s_TR/(s_RadSpec!N19*s_EF_ow*(1/365)*s_ED_out*s_RadSpec!S19*(s_ET_ow_o+s_ET_ow_i)*(1/24)*s_RadSpec!X19))*1,".")</f>
        <v>2581418.5645621819</v>
      </c>
      <c r="R19" s="22">
        <f>IFERROR((s_TR/(s_RadSpec!O19*s_EF_ow*(1/365)*s_ED_out*s_RadSpec!T19*(s_ET_ow_o+s_ET_ow_i)*(1/24)*s_RadSpec!Y19))*1,".")</f>
        <v>1382500.4113033414</v>
      </c>
      <c r="S19" s="22">
        <f>IFERROR((s_TR/(s_RadSpec!K19*s_EF_ow*(1/365)*s_ED_out*s_RadSpec!P19*(s_ET_ow_o+s_ET_ow_i)*(1/24)*s_RadSpec!U19))*1,".")</f>
        <v>18561183.817684766</v>
      </c>
      <c r="T19" s="43">
        <f>s_C*s_EF_ow*(1/365)*s_ED_out*(s_ET_ow_o+s_ET_ow_i)*(1/24)*s_RadSpec!V19*s_RadSpec!Q19*1</f>
        <v>0.27360078277886496</v>
      </c>
      <c r="U19" s="43">
        <f>s_C*s_EF_ow*(1/365)*s_ED_out*(s_ET_ow_o+s_ET_ow_i)*(1/24)*s_RadSpec!W19*s_RadSpec!R19*1</f>
        <v>0.13794508819665979</v>
      </c>
      <c r="V19" s="43">
        <f>s_C*s_EF_ow*(1/365)*s_ED_out*(s_ET_ow_o+s_ET_ow_i)*(1/24)*s_RadSpec!X19*s_RadSpec!S19*1</f>
        <v>0.1989977555916724</v>
      </c>
      <c r="W19" s="43">
        <f>s_C*s_EF_ow*(1/365)*s_ED_out*(s_ET_ow_o+s_ET_ow_i)*(1/24)*s_RadSpec!Y19*s_RadSpec!T19*1</f>
        <v>0.23826249853647125</v>
      </c>
      <c r="X19" s="43">
        <f>s_C*s_EF_ow*(1/365)*s_ED_out*(s_ET_ow_o+s_ET_ow_i)*(1/24)*s_RadSpec!U19*s_RadSpec!P19*1</f>
        <v>8.0106204263125327E-2</v>
      </c>
      <c r="Y19" s="11"/>
      <c r="Z19" s="11"/>
      <c r="AA19" s="11"/>
      <c r="AB19" s="11"/>
      <c r="AC19" s="11"/>
      <c r="AD19" s="22" t="str">
        <f>IFERROR(s_TR/(s_RadSpec!G19*s_EF_ow*s_ED_out*(s_ET_ow_o+s_ET_ow_i)*(1/24)*s_IRA_ow),".")</f>
        <v>.</v>
      </c>
      <c r="AE19" s="22">
        <f>IFERROR(s_TR/(s_RadSpec!J19*s_EF_ow*(1/365)*s_ED_out*(s_ET_ow_o+s_ET_ow_i)*(1/24)*s_GSF_a),".")</f>
        <v>197690880.0704295</v>
      </c>
      <c r="AF19" s="22">
        <f t="shared" si="6"/>
        <v>197690880.0704295</v>
      </c>
      <c r="AG19" s="43">
        <f t="shared" si="4"/>
        <v>34375</v>
      </c>
      <c r="AH19" s="43">
        <f t="shared" si="5"/>
        <v>1.5696347031963471</v>
      </c>
      <c r="AI19" s="10"/>
      <c r="AJ19" s="10"/>
      <c r="AK19" s="10"/>
    </row>
    <row r="20" spans="1:37" x14ac:dyDescent="0.25">
      <c r="A20" s="23" t="s">
        <v>30</v>
      </c>
      <c r="B20" s="24" t="s">
        <v>289</v>
      </c>
      <c r="C20" s="109"/>
      <c r="D20" s="22" t="str">
        <f>IFERROR((s_TR/(s_RadSpec!I20*s_EF_ow*s_ED_out*s_IRS_ow*(1/1000)))*1,".")</f>
        <v>.</v>
      </c>
      <c r="E20" s="22" t="str">
        <f>IFERROR(IF(A20="H-3",(s_TR/(s_RadSpec!G20*s_EF_ow*s_ED_out*(s_ET_ow_o+s_ET_ow_i)*(1/24)*s_IRA_ow*(1/17)*1000))*1,(s_TR/(s_RadSpec!G20*s_EF_ow*s_ED_out*(s_ET_ow_o+s_ET_ow_i)*(1/24)*s_IRA_ow*(1/s_PEF_wind)*1000))*1),".")</f>
        <v>.</v>
      </c>
      <c r="F20" s="22">
        <f>IFERROR((s_TR/(s_RadSpec!F20*s_EF_ow*(1/365)*s_ED_out*s_RadSpec!Q20*(s_ET_ow_o+s_ET_ow_i)*(1/24)*s_RadSpec!V20))*1,".")</f>
        <v>466360.04487258772</v>
      </c>
      <c r="G20" s="22">
        <f t="shared" si="0"/>
        <v>466360.04487258778</v>
      </c>
      <c r="H20" s="43">
        <f t="shared" si="1"/>
        <v>137.5</v>
      </c>
      <c r="I20" s="43">
        <f t="shared" si="2"/>
        <v>0.11080293013295324</v>
      </c>
      <c r="J20" s="43">
        <f>s_C*s_EF_ow*(1/365)*s_ED_out*(s_ET_ow_o+s_ET_ow_i)*(1/24)*s_RadSpec!V20*s_RadSpec!Q20*1</f>
        <v>0.27824606929341444</v>
      </c>
      <c r="K20" s="4"/>
      <c r="L20" s="4"/>
      <c r="M20" s="4"/>
      <c r="N20" s="4"/>
      <c r="O20" s="22">
        <f>IFERROR((s_TR/(s_RadSpec!F20*s_EF_ow*(1/365)*s_ED_out*s_RadSpec!Q20*(s_ET_ow_o+s_ET_ow_i)*(1/24)*s_RadSpec!V20))*1,".")</f>
        <v>466360.04487258772</v>
      </c>
      <c r="P20" s="22">
        <f>IFERROR((s_TR/(s_RadSpec!M20*s_EF_ow*(1/365)*s_ED_out*s_RadSpec!R20*(s_ET_ow_o+s_ET_ow_i)*(1/24)*s_RadSpec!W20))*1,".")</f>
        <v>4649249.9772684826</v>
      </c>
      <c r="Q20" s="22">
        <f>IFERROR((s_TR/(s_RadSpec!N20*s_EF_ow*(1/365)*s_ED_out*s_RadSpec!S20*(s_ET_ow_o+s_ET_ow_i)*(1/24)*s_RadSpec!X20))*1,".")</f>
        <v>1154101.9784331401</v>
      </c>
      <c r="R20" s="22">
        <f>IFERROR((s_TR/(s_RadSpec!O20*s_EF_ow*(1/365)*s_ED_out*s_RadSpec!T20*(s_ET_ow_o+s_ET_ow_i)*(1/24)*s_RadSpec!Y20))*1,".")</f>
        <v>616987.6167473885</v>
      </c>
      <c r="S20" s="22">
        <f>IFERROR((s_TR/(s_RadSpec!K20*s_EF_ow*(1/365)*s_ED_out*s_RadSpec!P20*(s_ET_ow_o+s_ET_ow_i)*(1/24)*s_RadSpec!U20))*1,".")</f>
        <v>8131408.1959956642</v>
      </c>
      <c r="T20" s="43">
        <f>s_C*s_EF_ow*(1/365)*s_ED_out*(s_ET_ow_o+s_ET_ow_i)*(1/24)*s_RadSpec!V20*s_RadSpec!Q20*1</f>
        <v>0.27824606929341444</v>
      </c>
      <c r="U20" s="43">
        <f>s_C*s_EF_ow*(1/365)*s_ED_out*(s_ET_ow_o+s_ET_ow_i)*(1/24)*s_RadSpec!W20*s_RadSpec!R20*1</f>
        <v>0.14109163617799711</v>
      </c>
      <c r="V20" s="43">
        <f>s_C*s_EF_ow*(1/365)*s_ED_out*(s_ET_ow_o+s_ET_ow_i)*(1/24)*s_RadSpec!X20*s_RadSpec!S20*1</f>
        <v>0.20165189363416597</v>
      </c>
      <c r="W20" s="43">
        <f>s_C*s_EF_ow*(1/365)*s_ED_out*(s_ET_ow_o+s_ET_ow_i)*(1/24)*s_RadSpec!Y20*s_RadSpec!T20*1</f>
        <v>0.24015410958904101</v>
      </c>
      <c r="X20" s="43">
        <f>s_C*s_EF_ow*(1/365)*s_ED_out*(s_ET_ow_o+s_ET_ow_i)*(1/24)*s_RadSpec!U20*s_RadSpec!P20*1</f>
        <v>8.2802115828021133E-2</v>
      </c>
      <c r="Y20" s="11"/>
      <c r="Z20" s="11"/>
      <c r="AA20" s="11"/>
      <c r="AB20" s="11"/>
      <c r="AC20" s="11"/>
      <c r="AD20" s="22" t="str">
        <f>IFERROR(s_TR/(s_RadSpec!G20*s_EF_ow*s_ED_out*(s_ET_ow_o+s_ET_ow_i)*(1/24)*s_IRA_ow),".")</f>
        <v>.</v>
      </c>
      <c r="AE20" s="22">
        <f>IFERROR(s_TR/(s_RadSpec!J20*s_EF_ow*(1/365)*s_ED_out*(s_ET_ow_o+s_ET_ow_i)*(1/24)*s_GSF_a),".")</f>
        <v>89154710.619997621</v>
      </c>
      <c r="AF20" s="22">
        <f t="shared" si="6"/>
        <v>89154710.619997621</v>
      </c>
      <c r="AG20" s="43">
        <f t="shared" si="4"/>
        <v>34375</v>
      </c>
      <c r="AH20" s="43">
        <f t="shared" si="5"/>
        <v>1.5696347031963471</v>
      </c>
      <c r="AI20" s="10"/>
      <c r="AJ20" s="10"/>
      <c r="AK20" s="10"/>
    </row>
    <row r="21" spans="1:37" x14ac:dyDescent="0.25">
      <c r="A21" s="23" t="s">
        <v>31</v>
      </c>
      <c r="B21" s="24" t="s">
        <v>289</v>
      </c>
      <c r="C21" s="109"/>
      <c r="D21" s="22" t="str">
        <f>IFERROR((s_TR/(s_RadSpec!I21*s_EF_ow*s_ED_out*s_IRS_ow*(1/1000)))*1,".")</f>
        <v>.</v>
      </c>
      <c r="E21" s="22">
        <f>IFERROR(IF(A21="H-3",(s_TR/(s_RadSpec!G21*s_EF_ow*s_ED_out*(s_ET_ow_o+s_ET_ow_i)*(1/24)*s_IRA_ow*(1/17)*1000))*1,(s_TR/(s_RadSpec!G21*s_EF_ow*s_ED_out*(s_ET_ow_o+s_ET_ow_i)*(1/24)*s_IRA_ow*(1/s_PEF_wind)*1000))*1),".")</f>
        <v>32464144.20486949</v>
      </c>
      <c r="F21" s="22" t="str">
        <f>IFERROR((s_TR/(s_RadSpec!F21*s_EF_ow*(1/365)*s_ED_out*s_RadSpec!Q21*(s_ET_ow_o+s_ET_ow_i)*(1/24)*s_RadSpec!V21))*1,".")</f>
        <v>.</v>
      </c>
      <c r="G21" s="22">
        <f t="shared" si="0"/>
        <v>32464144.204869494</v>
      </c>
      <c r="H21" s="43">
        <f t="shared" si="1"/>
        <v>137.5</v>
      </c>
      <c r="I21" s="43">
        <f t="shared" si="2"/>
        <v>0.11080293013295324</v>
      </c>
      <c r="J21" s="43">
        <f>s_C*s_EF_ow*(1/365)*s_ED_out*(s_ET_ow_o+s_ET_ow_i)*(1/24)*s_RadSpec!V21*s_RadSpec!Q21*1</f>
        <v>0</v>
      </c>
      <c r="K21" s="4"/>
      <c r="L21" s="4"/>
      <c r="M21" s="4"/>
      <c r="N21" s="4"/>
      <c r="O21" s="22" t="str">
        <f>IFERROR((s_TR/(s_RadSpec!F21*s_EF_ow*(1/365)*s_ED_out*s_RadSpec!Q21*(s_ET_ow_o+s_ET_ow_i)*(1/24)*s_RadSpec!V21))*1,".")</f>
        <v>.</v>
      </c>
      <c r="P21" s="22" t="str">
        <f>IFERROR((s_TR/(s_RadSpec!M21*s_EF_ow*(1/365)*s_ED_out*s_RadSpec!R21*(s_ET_ow_o+s_ET_ow_i)*(1/24)*s_RadSpec!W21))*1,".")</f>
        <v>.</v>
      </c>
      <c r="Q21" s="22" t="str">
        <f>IFERROR((s_TR/(s_RadSpec!N21*s_EF_ow*(1/365)*s_ED_out*s_RadSpec!S21*(s_ET_ow_o+s_ET_ow_i)*(1/24)*s_RadSpec!X21))*1,".")</f>
        <v>.</v>
      </c>
      <c r="R21" s="22" t="str">
        <f>IFERROR((s_TR/(s_RadSpec!O21*s_EF_ow*(1/365)*s_ED_out*s_RadSpec!T21*(s_ET_ow_o+s_ET_ow_i)*(1/24)*s_RadSpec!Y21))*1,".")</f>
        <v>.</v>
      </c>
      <c r="S21" s="22" t="str">
        <f>IFERROR((s_TR/(s_RadSpec!K21*s_EF_ow*(1/365)*s_ED_out*s_RadSpec!P21*(s_ET_ow_o+s_ET_ow_i)*(1/24)*s_RadSpec!U21))*1,".")</f>
        <v>.</v>
      </c>
      <c r="T21" s="43">
        <f>s_C*s_EF_ow*(1/365)*s_ED_out*(s_ET_ow_o+s_ET_ow_i)*(1/24)*s_RadSpec!V21*s_RadSpec!Q21*1</f>
        <v>0</v>
      </c>
      <c r="U21" s="43">
        <f>s_C*s_EF_ow*(1/365)*s_ED_out*(s_ET_ow_o+s_ET_ow_i)*(1/24)*s_RadSpec!W21*s_RadSpec!R21*1</f>
        <v>0</v>
      </c>
      <c r="V21" s="43">
        <f>s_C*s_EF_ow*(1/365)*s_ED_out*(s_ET_ow_o+s_ET_ow_i)*(1/24)*s_RadSpec!X21*s_RadSpec!S21*1</f>
        <v>0</v>
      </c>
      <c r="W21" s="43">
        <f>s_C*s_EF_ow*(1/365)*s_ED_out*(s_ET_ow_o+s_ET_ow_i)*(1/24)*s_RadSpec!Y21*s_RadSpec!T21*1</f>
        <v>0</v>
      </c>
      <c r="X21" s="43">
        <f>s_C*s_EF_ow*(1/365)*s_ED_out*(s_ET_ow_o+s_ET_ow_i)*(1/24)*s_RadSpec!U21*s_RadSpec!P21*1</f>
        <v>0</v>
      </c>
      <c r="Y21" s="11"/>
      <c r="Z21" s="11"/>
      <c r="AA21" s="11"/>
      <c r="AB21" s="11"/>
      <c r="AC21" s="11"/>
      <c r="AD21" s="22">
        <f>IFERROR(s_TR/(s_RadSpec!G21*s_EF_ow*s_ED_out*(s_ET_ow_o+s_ET_ow_i)*(1/24)*s_IRA_ow),".")</f>
        <v>104.64355788096796</v>
      </c>
      <c r="AE21" s="22">
        <f>IFERROR(s_TR/(s_RadSpec!J21*s_EF_ow*(1/365)*s_ED_out*(s_ET_ow_o+s_ET_ow_i)*(1/24)*s_GSF_a),".")</f>
        <v>807140279577.49329</v>
      </c>
      <c r="AF21" s="22">
        <f t="shared" si="6"/>
        <v>104.64355786740121</v>
      </c>
      <c r="AG21" s="43">
        <f t="shared" si="4"/>
        <v>34375</v>
      </c>
      <c r="AH21" s="43">
        <f t="shared" si="5"/>
        <v>1.5696347031963471</v>
      </c>
      <c r="AI21" s="10"/>
      <c r="AJ21" s="10"/>
      <c r="AK21" s="10"/>
    </row>
    <row r="22" spans="1:37" x14ac:dyDescent="0.25">
      <c r="A22" s="23" t="s">
        <v>32</v>
      </c>
      <c r="B22" s="24" t="s">
        <v>289</v>
      </c>
      <c r="C22" s="2"/>
      <c r="D22" s="22">
        <f>IFERROR((s_TR/(s_RadSpec!I22*s_EF_ow*s_ED_out*s_IRS_ow*(1/1000)))*1,".")</f>
        <v>4889.5571283631007</v>
      </c>
      <c r="E22" s="22">
        <f>IFERROR(IF(A22="H-3",(s_TR/(s_RadSpec!G22*s_EF_ow*s_ED_out*(s_ET_ow_o+s_ET_ow_i)*(1/24)*s_IRA_ow*(1/17)*1000))*1,(s_TR/(s_RadSpec!G22*s_EF_ow*s_ED_out*(s_ET_ow_o+s_ET_ow_i)*(1/24)*s_IRA_ow*(1/s_PEF_wind)*1000))*1),".")</f>
        <v>17250.33848570993</v>
      </c>
      <c r="F22" s="22">
        <f>IFERROR((s_TR/(s_RadSpec!F22*s_EF_ow*(1/365)*s_ED_out*s_RadSpec!Q22*(s_ET_ow_o+s_ET_ow_i)*(1/24)*s_RadSpec!V22))*1,".")</f>
        <v>125149557165.41487</v>
      </c>
      <c r="G22" s="22">
        <f t="shared" si="0"/>
        <v>3809.7068934802578</v>
      </c>
      <c r="H22" s="43">
        <f t="shared" si="1"/>
        <v>137.5</v>
      </c>
      <c r="I22" s="43">
        <f t="shared" si="2"/>
        <v>0.11080293013295324</v>
      </c>
      <c r="J22" s="43">
        <f>s_C*s_EF_ow*(1/365)*s_ED_out*(s_ET_ow_o+s_ET_ow_i)*(1/24)*s_RadSpec!V22*s_RadSpec!Q22*1</f>
        <v>6.5423429645830922E-8</v>
      </c>
      <c r="K22" s="4"/>
      <c r="L22" s="4"/>
      <c r="M22" s="4"/>
      <c r="N22" s="4"/>
      <c r="O22" s="22">
        <f>IFERROR((s_TR/(s_RadSpec!F22*s_EF_ow*(1/365)*s_ED_out*s_RadSpec!Q22*(s_ET_ow_o+s_ET_ow_i)*(1/24)*s_RadSpec!V22))*1,".")</f>
        <v>125149557165.41487</v>
      </c>
      <c r="P22" s="22">
        <f>IFERROR((s_TR/(s_RadSpec!M22*s_EF_ow*(1/365)*s_ED_out*s_RadSpec!R22*(s_ET_ow_o+s_ET_ow_i)*(1/24)*s_RadSpec!W22))*1,".")</f>
        <v>157500375364.1293</v>
      </c>
      <c r="Q22" s="22">
        <f>IFERROR((s_TR/(s_RadSpec!N22*s_EF_ow*(1/365)*s_ED_out*s_RadSpec!S22*(s_ET_ow_o+s_ET_ow_i)*(1/24)*s_RadSpec!X22))*1,".")</f>
        <v>88611033432.008713</v>
      </c>
      <c r="R22" s="22">
        <f>IFERROR((s_TR/(s_RadSpec!O22*s_EF_ow*(1/365)*s_ED_out*s_RadSpec!T22*(s_ET_ow_o+s_ET_ow_i)*(1/24)*s_RadSpec!Y22))*1,".")</f>
        <v>90961395817.846573</v>
      </c>
      <c r="S22" s="22">
        <f>IFERROR((s_TR/(s_RadSpec!K22*s_EF_ow*(1/365)*s_ED_out*s_RadSpec!P22*(s_ET_ow_o+s_ET_ow_i)*(1/24)*s_RadSpec!U22))*1,".")</f>
        <v>445068164946.88446</v>
      </c>
      <c r="T22" s="43">
        <f>s_C*s_EF_ow*(1/365)*s_ED_out*(s_ET_ow_o+s_ET_ow_i)*(1/24)*s_RadSpec!V22*s_RadSpec!Q22*1</f>
        <v>6.5423429645830922E-8</v>
      </c>
      <c r="U22" s="43">
        <f>s_C*s_EF_ow*(1/365)*s_ED_out*(s_ET_ow_o+s_ET_ow_i)*(1/24)*s_RadSpec!W22*s_RadSpec!R22*1</f>
        <v>7.1397956239072443E-8</v>
      </c>
      <c r="V22" s="43">
        <f>s_C*s_EF_ow*(1/365)*s_ED_out*(s_ET_ow_o+s_ET_ow_i)*(1/24)*s_RadSpec!X22*s_RadSpec!S22*1</f>
        <v>9.2933687111769299E-8</v>
      </c>
      <c r="W22" s="43">
        <f>s_C*s_EF_ow*(1/365)*s_ED_out*(s_ET_ow_o+s_ET_ow_i)*(1/24)*s_RadSpec!Y22*s_RadSpec!T22*1</f>
        <v>9.0185495166194156E-8</v>
      </c>
      <c r="X22" s="43">
        <f>s_C*s_EF_ow*(1/365)*s_ED_out*(s_ET_ow_o+s_ET_ow_i)*(1/24)*s_RadSpec!U22*s_RadSpec!P22*1</f>
        <v>1.2709893243406304E-8</v>
      </c>
      <c r="Y22" s="11"/>
      <c r="Z22" s="11"/>
      <c r="AA22" s="11"/>
      <c r="AB22" s="11"/>
      <c r="AC22" s="11"/>
      <c r="AD22" s="22">
        <f>IFERROR(s_TR/(s_RadSpec!G22*s_EF_ow*s_ED_out*(s_ET_ow_o+s_ET_ow_i)*(1/24)*s_IRA_ow),".")</f>
        <v>5.5604016000055607E-2</v>
      </c>
      <c r="AE22" s="22">
        <f>IFERROR(s_TR/(s_RadSpec!J22*s_EF_ow*(1/365)*s_ED_out*(s_ET_ow_o+s_ET_ow_i)*(1/24)*s_GSF_a),".")</f>
        <v>1726667.1803619796</v>
      </c>
      <c r="AF22" s="22">
        <f t="shared" si="6"/>
        <v>5.5604014209434623E-2</v>
      </c>
      <c r="AG22" s="43">
        <f t="shared" si="4"/>
        <v>34375</v>
      </c>
      <c r="AH22" s="43">
        <f t="shared" si="5"/>
        <v>1.5696347031963471</v>
      </c>
      <c r="AI22" s="10"/>
      <c r="AJ22" s="10"/>
      <c r="AK22" s="10"/>
    </row>
    <row r="23" spans="1:37" x14ac:dyDescent="0.25">
      <c r="A23" s="25" t="s">
        <v>33</v>
      </c>
      <c r="B23" s="24" t="s">
        <v>275</v>
      </c>
      <c r="C23" s="109"/>
      <c r="D23" s="22">
        <f>IFERROR((s_TR/(s_RadSpec!I23*s_EF_ow*s_ED_out*s_IRS_ow*(1/1000)))*1,".")</f>
        <v>1234.6746015087724</v>
      </c>
      <c r="E23" s="22">
        <f>IFERROR(IF(A23="H-3",(s_TR/(s_RadSpec!G23*s_EF_ow*s_ED_out*(s_ET_ow_o+s_ET_ow_i)*(1/24)*s_IRA_ow*(1/17)*1000))*1,(s_TR/(s_RadSpec!G23*s_EF_ow*s_ED_out*(s_ET_ow_o+s_ET_ow_i)*(1/24)*s_IRA_ow*(1/s_PEF_wind)*1000))*1),".")</f>
        <v>16026.267160836949</v>
      </c>
      <c r="F23" s="22">
        <f>IFERROR((s_TR/(s_RadSpec!F23*s_EF_ow*(1/365)*s_ED_out*s_RadSpec!Q23*(s_ET_ow_o+s_ET_ow_i)*(1/24)*s_RadSpec!V23))*1,".")</f>
        <v>7004.3407599423999</v>
      </c>
      <c r="G23" s="22">
        <f t="shared" si="0"/>
        <v>985.12833237165194</v>
      </c>
      <c r="H23" s="43">
        <f t="shared" si="1"/>
        <v>137.5</v>
      </c>
      <c r="I23" s="43">
        <f t="shared" si="2"/>
        <v>0.11080293013295324</v>
      </c>
      <c r="J23" s="43">
        <f>s_C*s_EF_ow*(1/365)*s_ED_out*(s_ET_ow_o+s_ET_ow_i)*(1/24)*s_RadSpec!V23*s_RadSpec!Q23*1</f>
        <v>0.28568226046476142</v>
      </c>
      <c r="K23" s="4"/>
      <c r="L23" s="4"/>
      <c r="M23" s="4"/>
      <c r="N23" s="4"/>
      <c r="O23" s="22">
        <f>IFERROR((s_TR/(s_RadSpec!F23*s_EF_ow*(1/365)*s_ED_out*s_RadSpec!Q23*(s_ET_ow_o+s_ET_ow_i)*(1/24)*s_RadSpec!V23))*1,".")</f>
        <v>7004.3407599423999</v>
      </c>
      <c r="P23" s="22">
        <f>IFERROR((s_TR/(s_RadSpec!M23*s_EF_ow*(1/365)*s_ED_out*s_RadSpec!R23*(s_ET_ow_o+s_ET_ow_i)*(1/24)*s_RadSpec!W23))*1,".")</f>
        <v>49191.033953105143</v>
      </c>
      <c r="Q23" s="22">
        <f>IFERROR((s_TR/(s_RadSpec!N23*s_EF_ow*(1/365)*s_ED_out*s_RadSpec!S23*(s_ET_ow_o+s_ET_ow_i)*(1/24)*s_RadSpec!X23))*1,".")</f>
        <v>12722.160963188748</v>
      </c>
      <c r="R23" s="22">
        <f>IFERROR((s_TR/(s_RadSpec!O23*s_EF_ow*(1/365)*s_ED_out*s_RadSpec!T23*(s_ET_ow_o+s_ET_ow_i)*(1/24)*s_RadSpec!Y23))*1,".")</f>
        <v>7422.8079282573035</v>
      </c>
      <c r="S23" s="22">
        <f>IFERROR((s_TR/(s_RadSpec!K23*s_EF_ow*(1/365)*s_ED_out*s_RadSpec!P23*(s_ET_ow_o+s_ET_ow_i)*(1/24)*s_RadSpec!U23))*1,".")</f>
        <v>78505.422140040173</v>
      </c>
      <c r="T23" s="43">
        <f>s_C*s_EF_ow*(1/365)*s_ED_out*(s_ET_ow_o+s_ET_ow_i)*(1/24)*s_RadSpec!V23*s_RadSpec!Q23*1</f>
        <v>0.28568226046476142</v>
      </c>
      <c r="U23" s="43">
        <f>s_C*s_EF_ow*(1/365)*s_ED_out*(s_ET_ow_o+s_ET_ow_i)*(1/24)*s_RadSpec!W23*s_RadSpec!R23*1</f>
        <v>0.16049395567028901</v>
      </c>
      <c r="V23" s="43">
        <f>s_C*s_EF_ow*(1/365)*s_ED_out*(s_ET_ow_o+s_ET_ow_i)*(1/24)*s_RadSpec!X23*s_RadSpec!S23*1</f>
        <v>0.22696676943558855</v>
      </c>
      <c r="W23" s="43">
        <f>s_C*s_EF_ow*(1/365)*s_ED_out*(s_ET_ow_o+s_ET_ow_i)*(1/24)*s_RadSpec!Y23*s_RadSpec!T23*1</f>
        <v>0.27735292813760704</v>
      </c>
      <c r="X23" s="43">
        <f>s_C*s_EF_ow*(1/365)*s_ED_out*(s_ET_ow_o+s_ET_ow_i)*(1/24)*s_RadSpec!U23*s_RadSpec!P23*1</f>
        <v>0.10195555144185284</v>
      </c>
      <c r="Y23" s="11"/>
      <c r="Z23" s="11"/>
      <c r="AA23" s="11"/>
      <c r="AB23" s="11"/>
      <c r="AC23" s="11"/>
      <c r="AD23" s="22">
        <f>IFERROR(s_TR/(s_RadSpec!G23*s_EF_ow*s_ED_out*(s_ET_ow_o+s_ET_ow_i)*(1/24)*s_IRA_ow),".")</f>
        <v>5.1658395942232996E-2</v>
      </c>
      <c r="AE23" s="22">
        <f>IFERROR(s_TR/(s_RadSpec!J23*s_EF_ow*(1/365)*s_ED_out*(s_ET_ow_o+s_ET_ow_i)*(1/24)*s_GSF_a),".")</f>
        <v>1118087.7643327571</v>
      </c>
      <c r="AF23" s="22">
        <f t="shared" si="6"/>
        <v>5.1658393555488562E-2</v>
      </c>
      <c r="AG23" s="43">
        <f t="shared" si="4"/>
        <v>34375</v>
      </c>
      <c r="AH23" s="43">
        <f t="shared" si="5"/>
        <v>1.5696347031963471</v>
      </c>
      <c r="AI23" s="10"/>
      <c r="AJ23" s="10"/>
      <c r="AK23" s="10"/>
    </row>
    <row r="24" spans="1:37" x14ac:dyDescent="0.25">
      <c r="A24" s="23" t="s">
        <v>34</v>
      </c>
      <c r="B24" s="24" t="s">
        <v>289</v>
      </c>
      <c r="C24" s="109"/>
      <c r="D24" s="22" t="str">
        <f>IFERROR((s_TR/(s_RadSpec!I24*s_EF_ow*s_ED_out*s_IRS_ow*(1/1000)))*1,".")</f>
        <v>.</v>
      </c>
      <c r="E24" s="22" t="str">
        <f>IFERROR(IF(A24="H-3",(s_TR/(s_RadSpec!G24*s_EF_ow*s_ED_out*(s_ET_ow_o+s_ET_ow_i)*(1/24)*s_IRA_ow*(1/17)*1000))*1,(s_TR/(s_RadSpec!G24*s_EF_ow*s_ED_out*(s_ET_ow_o+s_ET_ow_i)*(1/24)*s_IRA_ow*(1/s_PEF_wind)*1000))*1),".")</f>
        <v>.</v>
      </c>
      <c r="F24" s="22">
        <f>IFERROR((s_TR/(s_RadSpec!F24*s_EF_ow*(1/365)*s_ED_out*s_RadSpec!Q24*(s_ET_ow_o+s_ET_ow_i)*(1/24)*s_RadSpec!V24))*1,".")</f>
        <v>67757.817583539436</v>
      </c>
      <c r="G24" s="22">
        <f t="shared" si="0"/>
        <v>67757.817583539436</v>
      </c>
      <c r="H24" s="43">
        <f t="shared" si="1"/>
        <v>137.5</v>
      </c>
      <c r="I24" s="43">
        <f t="shared" si="2"/>
        <v>0.11080293013295324</v>
      </c>
      <c r="J24" s="43">
        <f>s_C*s_EF_ow*(1/365)*s_ED_out*(s_ET_ow_o+s_ET_ow_i)*(1/24)*s_RadSpec!V24*s_RadSpec!Q24*1</f>
        <v>0.21792492538455643</v>
      </c>
      <c r="K24" s="4"/>
      <c r="L24" s="4"/>
      <c r="M24" s="4"/>
      <c r="N24" s="4"/>
      <c r="O24" s="22">
        <f>IFERROR((s_TR/(s_RadSpec!F24*s_EF_ow*(1/365)*s_ED_out*s_RadSpec!Q24*(s_ET_ow_o+s_ET_ow_i)*(1/24)*s_RadSpec!V24))*1,".")</f>
        <v>67757.817583539436</v>
      </c>
      <c r="P24" s="22">
        <f>IFERROR((s_TR/(s_RadSpec!M24*s_EF_ow*(1/365)*s_ED_out*s_RadSpec!R24*(s_ET_ow_o+s_ET_ow_i)*(1/24)*s_RadSpec!W24))*1,".")</f>
        <v>596939.03773865546</v>
      </c>
      <c r="Q24" s="22">
        <f>IFERROR((s_TR/(s_RadSpec!N24*s_EF_ow*(1/365)*s_ED_out*s_RadSpec!S24*(s_ET_ow_o+s_ET_ow_i)*(1/24)*s_RadSpec!X24))*1,".")</f>
        <v>149724.87624003022</v>
      </c>
      <c r="R24" s="22">
        <f>IFERROR((s_TR/(s_RadSpec!O24*s_EF_ow*(1/365)*s_ED_out*s_RadSpec!T24*(s_ET_ow_o+s_ET_ow_i)*(1/24)*s_RadSpec!Y24))*1,".")</f>
        <v>80788.602051951122</v>
      </c>
      <c r="S24" s="22">
        <f>IFERROR((s_TR/(s_RadSpec!K24*s_EF_ow*(1/365)*s_ED_out*s_RadSpec!P24*(s_ET_ow_o+s_ET_ow_i)*(1/24)*s_RadSpec!U24))*1,".")</f>
        <v>1015600.4252953754</v>
      </c>
      <c r="T24" s="43">
        <f>s_C*s_EF_ow*(1/365)*s_ED_out*(s_ET_ow_o+s_ET_ow_i)*(1/24)*s_RadSpec!V24*s_RadSpec!Q24*1</f>
        <v>0.21792492538455643</v>
      </c>
      <c r="U24" s="43">
        <f>s_C*s_EF_ow*(1/365)*s_ED_out*(s_ET_ow_o+s_ET_ow_i)*(1/24)*s_RadSpec!W24*s_RadSpec!R24*1</f>
        <v>0.12020029057700292</v>
      </c>
      <c r="V24" s="43">
        <f>s_C*s_EF_ow*(1/365)*s_ED_out*(s_ET_ow_o+s_ET_ow_i)*(1/24)*s_RadSpec!X24*s_RadSpec!S24*1</f>
        <v>0.17023978756661629</v>
      </c>
      <c r="W24" s="43">
        <f>s_C*s_EF_ow*(1/365)*s_ED_out*(s_ET_ow_o+s_ET_ow_i)*(1/24)*s_RadSpec!Y24*s_RadSpec!T24*1</f>
        <v>0.20386415525114157</v>
      </c>
      <c r="X24" s="43">
        <f>s_C*s_EF_ow*(1/365)*s_ED_out*(s_ET_ow_o+s_ET_ow_i)*(1/24)*s_RadSpec!U24*s_RadSpec!P24*1</f>
        <v>7.2322409109300073E-2</v>
      </c>
      <c r="Y24" s="11"/>
      <c r="Z24" s="11"/>
      <c r="AA24" s="11"/>
      <c r="AB24" s="11"/>
      <c r="AC24" s="11"/>
      <c r="AD24" s="22" t="str">
        <f>IFERROR(s_TR/(s_RadSpec!G24*s_EF_ow*s_ED_out*(s_ET_ow_o+s_ET_ow_i)*(1/24)*s_IRA_ow),".")</f>
        <v>.</v>
      </c>
      <c r="AE24" s="22">
        <f>IFERROR(s_TR/(s_RadSpec!J24*s_EF_ow*(1/365)*s_ED_out*(s_ET_ow_o+s_ET_ow_i)*(1/24)*s_GSF_a),".")</f>
        <v>9993165.3661975376</v>
      </c>
      <c r="AF24" s="22">
        <f t="shared" si="6"/>
        <v>9993165.3661975376</v>
      </c>
      <c r="AG24" s="43">
        <f t="shared" si="4"/>
        <v>34375</v>
      </c>
      <c r="AH24" s="43">
        <f t="shared" si="5"/>
        <v>1.5696347031963471</v>
      </c>
      <c r="AI24" s="10"/>
      <c r="AJ24" s="10"/>
      <c r="AK24" s="10"/>
    </row>
    <row r="25" spans="1:37" x14ac:dyDescent="0.25">
      <c r="A25" s="25" t="s">
        <v>35</v>
      </c>
      <c r="B25" s="24" t="s">
        <v>275</v>
      </c>
      <c r="C25" s="109"/>
      <c r="D25" s="22" t="str">
        <f>IFERROR((s_TR/(s_RadSpec!I25*s_EF_ow*s_ED_out*s_IRS_ow*(1/1000)))*1,".")</f>
        <v>.</v>
      </c>
      <c r="E25" s="22">
        <f>IFERROR(IF(A25="H-3",(s_TR/(s_RadSpec!G25*s_EF_ow*s_ED_out*(s_ET_ow_o+s_ET_ow_i)*(1/24)*s_IRA_ow*(1/17)*1000))*1,(s_TR/(s_RadSpec!G25*s_EF_ow*s_ED_out*(s_ET_ow_o+s_ET_ow_i)*(1/24)*s_IRA_ow*(1/s_PEF_wind)*1000))*1),".")</f>
        <v>197917370.37179211</v>
      </c>
      <c r="F25" s="22">
        <f>IFERROR((s_TR/(s_RadSpec!F25*s_EF_ow*(1/365)*s_ED_out*s_RadSpec!Q25*(s_ET_ow_o+s_ET_ow_i)*(1/24)*s_RadSpec!V25))*1,".")</f>
        <v>151122.2348689615</v>
      </c>
      <c r="G25" s="22">
        <f t="shared" si="0"/>
        <v>151006.93167474199</v>
      </c>
      <c r="H25" s="43">
        <f t="shared" si="1"/>
        <v>137.5</v>
      </c>
      <c r="I25" s="43">
        <f t="shared" si="2"/>
        <v>0.11080293013295324</v>
      </c>
      <c r="J25" s="43">
        <f>s_C*s_EF_ow*(1/365)*s_ED_out*(s_ET_ow_o+s_ET_ow_i)*(1/24)*s_RadSpec!V25*s_RadSpec!Q25*1</f>
        <v>0.1954195205479452</v>
      </c>
      <c r="K25" s="4"/>
      <c r="L25" s="4"/>
      <c r="M25" s="4"/>
      <c r="N25" s="4"/>
      <c r="O25" s="22">
        <f>IFERROR((s_TR/(s_RadSpec!F25*s_EF_ow*(1/365)*s_ED_out*s_RadSpec!Q25*(s_ET_ow_o+s_ET_ow_i)*(1/24)*s_RadSpec!V25))*1,".")</f>
        <v>151122.2348689615</v>
      </c>
      <c r="P25" s="22">
        <f>IFERROR((s_TR/(s_RadSpec!M25*s_EF_ow*(1/365)*s_ED_out*s_RadSpec!R25*(s_ET_ow_o+s_ET_ow_i)*(1/24)*s_RadSpec!W25))*1,".")</f>
        <v>1284068.7702228804</v>
      </c>
      <c r="Q25" s="22">
        <f>IFERROR((s_TR/(s_RadSpec!N25*s_EF_ow*(1/365)*s_ED_out*s_RadSpec!S25*(s_ET_ow_o+s_ET_ow_i)*(1/24)*s_RadSpec!X25))*1,".")</f>
        <v>326390.11626016838</v>
      </c>
      <c r="R25" s="22">
        <f>IFERROR((s_TR/(s_RadSpec!O25*s_EF_ow*(1/365)*s_ED_out*s_RadSpec!T25*(s_ET_ow_o+s_ET_ow_i)*(1/24)*s_RadSpec!Y25))*1,".")</f>
        <v>190419.32978219242</v>
      </c>
      <c r="S25" s="22">
        <f>IFERROR((s_TR/(s_RadSpec!K25*s_EF_ow*(1/365)*s_ED_out*s_RadSpec!P25*(s_ET_ow_o+s_ET_ow_i)*(1/24)*s_RadSpec!U25))*1,".")</f>
        <v>2345168.5866387296</v>
      </c>
      <c r="T25" s="43">
        <f>s_C*s_EF_ow*(1/365)*s_ED_out*(s_ET_ow_o+s_ET_ow_i)*(1/24)*s_RadSpec!V25*s_RadSpec!Q25*1</f>
        <v>0.1954195205479452</v>
      </c>
      <c r="U25" s="43">
        <f>s_C*s_EF_ow*(1/365)*s_ED_out*(s_ET_ow_o+s_ET_ow_i)*(1/24)*s_RadSpec!W25*s_RadSpec!R25*1</f>
        <v>0.10912460372858684</v>
      </c>
      <c r="V25" s="43">
        <f>s_C*s_EF_ow*(1/365)*s_ED_out*(s_ET_ow_o+s_ET_ow_i)*(1/24)*s_RadSpec!X25*s_RadSpec!S25*1</f>
        <v>0.15213129646895693</v>
      </c>
      <c r="W25" s="43">
        <f>s_C*s_EF_ow*(1/365)*s_ED_out*(s_ET_ow_o+s_ET_ow_i)*(1/24)*s_RadSpec!Y25*s_RadSpec!T25*1</f>
        <v>0.17036459679503749</v>
      </c>
      <c r="X25" s="43">
        <f>s_C*s_EF_ow*(1/365)*s_ED_out*(s_ET_ow_o+s_ET_ow_i)*(1/24)*s_RadSpec!U25*s_RadSpec!P25*1</f>
        <v>6.0865191146881298E-2</v>
      </c>
      <c r="Y25" s="11"/>
      <c r="Z25" s="11"/>
      <c r="AA25" s="11"/>
      <c r="AB25" s="11"/>
      <c r="AC25" s="11"/>
      <c r="AD25" s="22">
        <f>IFERROR(s_TR/(s_RadSpec!G25*s_EF_ow*s_ED_out*(s_ET_ow_o+s_ET_ow_i)*(1/24)*s_IRA_ow),".")</f>
        <v>637.95853269537486</v>
      </c>
      <c r="AE25" s="22">
        <f>IFERROR(s_TR/(s_RadSpec!J25*s_EF_ow*(1/365)*s_ED_out*(s_ET_ow_o+s_ET_ow_i)*(1/24)*s_GSF_a),".")</f>
        <v>19626864.352316026</v>
      </c>
      <c r="AF25" s="22">
        <f t="shared" si="6"/>
        <v>637.93779693985209</v>
      </c>
      <c r="AG25" s="43">
        <f t="shared" si="4"/>
        <v>34375</v>
      </c>
      <c r="AH25" s="43">
        <f t="shared" si="5"/>
        <v>1.5696347031963471</v>
      </c>
      <c r="AI25" s="10"/>
      <c r="AJ25" s="10"/>
      <c r="AK25" s="10"/>
    </row>
    <row r="26" spans="1:37" x14ac:dyDescent="0.25">
      <c r="A26" s="23" t="s">
        <v>36</v>
      </c>
      <c r="B26" s="24" t="s">
        <v>289</v>
      </c>
      <c r="C26" s="2"/>
      <c r="D26" s="22">
        <f>IFERROR((s_TR/(s_RadSpec!I26*s_EF_ow*s_ED_out*s_IRS_ow*(1/1000)))*1,".")</f>
        <v>1847.3702684229002</v>
      </c>
      <c r="E26" s="22">
        <f>IFERROR(IF(A26="H-3",(s_TR/(s_RadSpec!G26*s_EF_ow*s_ED_out*(s_ET_ow_o+s_ET_ow_i)*(1/24)*s_IRA_ow*(1/17)*1000))*1,(s_TR/(s_RadSpec!G26*s_EF_ow*s_ED_out*(s_ET_ow_o+s_ET_ow_i)*(1/24)*s_IRA_ow*(1/s_PEF_wind)*1000))*1),".")</f>
        <v>2583.8960401264658</v>
      </c>
      <c r="F26" s="22">
        <f>IFERROR((s_TR/(s_RadSpec!F26*s_EF_ow*(1/365)*s_ED_out*s_RadSpec!Q26*(s_ET_ow_o+s_ET_ow_i)*(1/24)*s_RadSpec!V26))*1,".")</f>
        <v>6222.4927573188697</v>
      </c>
      <c r="G26" s="22">
        <f t="shared" si="0"/>
        <v>918.24854109217824</v>
      </c>
      <c r="H26" s="43">
        <f t="shared" si="1"/>
        <v>137.5</v>
      </c>
      <c r="I26" s="43">
        <f t="shared" si="2"/>
        <v>0.11080293013295324</v>
      </c>
      <c r="J26" s="43">
        <f>s_C*s_EF_ow*(1/365)*s_ED_out*(s_ET_ow_o+s_ET_ow_i)*(1/24)*s_RadSpec!V26*s_RadSpec!Q26*1</f>
        <v>3.5842532251629221E-2</v>
      </c>
      <c r="K26" s="4"/>
      <c r="L26" s="4"/>
      <c r="M26" s="4"/>
      <c r="N26" s="4"/>
      <c r="O26" s="22">
        <f>IFERROR((s_TR/(s_RadSpec!F26*s_EF_ow*(1/365)*s_ED_out*s_RadSpec!Q26*(s_ET_ow_o+s_ET_ow_i)*(1/24)*s_RadSpec!V26))*1,".")</f>
        <v>6222.4927573188697</v>
      </c>
      <c r="P26" s="22">
        <f>IFERROR((s_TR/(s_RadSpec!M26*s_EF_ow*(1/365)*s_ED_out*s_RadSpec!R26*(s_ET_ow_o+s_ET_ow_i)*(1/24)*s_RadSpec!W26))*1,".")</f>
        <v>37659.890904493994</v>
      </c>
      <c r="Q26" s="22">
        <f>IFERROR((s_TR/(s_RadSpec!N26*s_EF_ow*(1/365)*s_ED_out*s_RadSpec!S26*(s_ET_ow_o+s_ET_ow_i)*(1/24)*s_RadSpec!X26))*1,".")</f>
        <v>10791.063407108235</v>
      </c>
      <c r="R26" s="22">
        <f>IFERROR((s_TR/(s_RadSpec!O26*s_EF_ow*(1/365)*s_ED_out*s_RadSpec!T26*(s_ET_ow_o+s_ET_ow_i)*(1/24)*s_RadSpec!Y26))*1,".")</f>
        <v>7097.7174226243296</v>
      </c>
      <c r="S26" s="22">
        <f>IFERROR((s_TR/(s_RadSpec!K26*s_EF_ow*(1/365)*s_ED_out*s_RadSpec!P26*(s_ET_ow_o+s_ET_ow_i)*(1/24)*s_RadSpec!U26))*1,".")</f>
        <v>209794.7011852313</v>
      </c>
      <c r="T26" s="43">
        <f>s_C*s_EF_ow*(1/365)*s_ED_out*(s_ET_ow_o+s_ET_ow_i)*(1/24)*s_RadSpec!V26*s_RadSpec!Q26*1</f>
        <v>3.5842532251629221E-2</v>
      </c>
      <c r="U26" s="43">
        <f>s_C*s_EF_ow*(1/365)*s_ED_out*(s_ET_ow_o+s_ET_ow_i)*(1/24)*s_RadSpec!W26*s_RadSpec!R26*1</f>
        <v>1.9631645466405737E-2</v>
      </c>
      <c r="V26" s="43">
        <f>s_C*s_EF_ow*(1/365)*s_ED_out*(s_ET_ow_o+s_ET_ow_i)*(1/24)*s_RadSpec!X26*s_RadSpec!S26*1</f>
        <v>2.7161256248388527E-2</v>
      </c>
      <c r="W26" s="43">
        <f>s_C*s_EF_ow*(1/365)*s_ED_out*(s_ET_ow_o+s_ET_ow_i)*(1/24)*s_RadSpec!Y26*s_RadSpec!T26*1</f>
        <v>3.1753529627880146E-2</v>
      </c>
      <c r="X26" s="43">
        <f>s_C*s_EF_ow*(1/365)*s_ED_out*(s_ET_ow_o+s_ET_ow_i)*(1/24)*s_RadSpec!U26*s_RadSpec!P26*1</f>
        <v>3.3681945907973296E-3</v>
      </c>
      <c r="Y26" s="11"/>
      <c r="Z26" s="11"/>
      <c r="AA26" s="11"/>
      <c r="AB26" s="11"/>
      <c r="AC26" s="11"/>
      <c r="AD26" s="22">
        <f>IFERROR(s_TR/(s_RadSpec!G26*s_EF_ow*s_ED_out*(s_ET_ow_o+s_ET_ow_i)*(1/24)*s_IRA_ow),".")</f>
        <v>8.3288218881439214E-3</v>
      </c>
      <c r="AE26" s="22">
        <f>IFERROR(s_TR/(s_RadSpec!J26*s_EF_ow*(1/365)*s_ED_out*(s_ET_ow_o+s_ET_ow_i)*(1/24)*s_GSF_a),".")</f>
        <v>106153.07957089211</v>
      </c>
      <c r="AF26" s="22">
        <f t="shared" si="6"/>
        <v>8.3288212346605845E-3</v>
      </c>
      <c r="AG26" s="43">
        <f t="shared" si="4"/>
        <v>34375</v>
      </c>
      <c r="AH26" s="43">
        <f t="shared" si="5"/>
        <v>1.5696347031963471</v>
      </c>
      <c r="AI26" s="10"/>
      <c r="AJ26" s="10"/>
      <c r="AK26" s="10"/>
    </row>
    <row r="27" spans="1:37" x14ac:dyDescent="0.25">
      <c r="A27" s="23" t="s">
        <v>37</v>
      </c>
      <c r="B27" s="24" t="s">
        <v>289</v>
      </c>
      <c r="C27" s="109"/>
      <c r="D27" s="22" t="str">
        <f>IFERROR((s_TR/(s_RadSpec!I27*s_EF_ow*s_ED_out*s_IRS_ow*(1/1000)))*1,".")</f>
        <v>.</v>
      </c>
      <c r="E27" s="22" t="str">
        <f>IFERROR(IF(A27="H-3",(s_TR/(s_RadSpec!G27*s_EF_ow*s_ED_out*(s_ET_ow_o+s_ET_ow_i)*(1/24)*s_IRA_ow*(1/17)*1000))*1,(s_TR/(s_RadSpec!G27*s_EF_ow*s_ED_out*(s_ET_ow_o+s_ET_ow_i)*(1/24)*s_IRA_ow*(1/s_PEF_wind)*1000))*1),".")</f>
        <v>.</v>
      </c>
      <c r="F27" s="22">
        <f>IFERROR((s_TR/(s_RadSpec!F27*s_EF_ow*(1/365)*s_ED_out*s_RadSpec!Q27*(s_ET_ow_o+s_ET_ow_i)*(1/24)*s_RadSpec!V27))*1,".")</f>
        <v>48130.198099747562</v>
      </c>
      <c r="G27" s="22">
        <f t="shared" si="0"/>
        <v>48130.198099747562</v>
      </c>
      <c r="H27" s="43">
        <f t="shared" si="1"/>
        <v>137.5</v>
      </c>
      <c r="I27" s="43">
        <f t="shared" si="2"/>
        <v>0.11080293013295324</v>
      </c>
      <c r="J27" s="43">
        <f>s_C*s_EF_ow*(1/365)*s_ED_out*(s_ET_ow_o+s_ET_ow_i)*(1/24)*s_RadSpec!V27*s_RadSpec!Q27*1</f>
        <v>0.17011592662572816</v>
      </c>
      <c r="K27" s="4"/>
      <c r="L27" s="4"/>
      <c r="M27" s="4"/>
      <c r="N27" s="4"/>
      <c r="O27" s="22">
        <f>IFERROR((s_TR/(s_RadSpec!F27*s_EF_ow*(1/365)*s_ED_out*s_RadSpec!Q27*(s_ET_ow_o+s_ET_ow_i)*(1/24)*s_RadSpec!V27))*1,".")</f>
        <v>48130.198099747562</v>
      </c>
      <c r="P27" s="22">
        <f>IFERROR((s_TR/(s_RadSpec!M27*s_EF_ow*(1/365)*s_ED_out*s_RadSpec!R27*(s_ET_ow_o+s_ET_ow_i)*(1/24)*s_RadSpec!W27))*1,".")</f>
        <v>420409.48179984686</v>
      </c>
      <c r="Q27" s="22">
        <f>IFERROR((s_TR/(s_RadSpec!N27*s_EF_ow*(1/365)*s_ED_out*s_RadSpec!S27*(s_ET_ow_o+s_ET_ow_i)*(1/24)*s_RadSpec!X27))*1,".")</f>
        <v>121226.40442599941</v>
      </c>
      <c r="R27" s="22">
        <f>IFERROR((s_TR/(s_RadSpec!O27*s_EF_ow*(1/365)*s_ED_out*s_RadSpec!T27*(s_ET_ow_o+s_ET_ow_i)*(1/24)*s_RadSpec!Y27))*1,".")</f>
        <v>66333.884061204531</v>
      </c>
      <c r="S27" s="22">
        <f>IFERROR((s_TR/(s_RadSpec!K27*s_EF_ow*(1/365)*s_ED_out*s_RadSpec!P27*(s_ET_ow_o+s_ET_ow_i)*(1/24)*s_RadSpec!U27))*1,".")</f>
        <v>318187.93653028557</v>
      </c>
      <c r="T27" s="43">
        <f>s_C*s_EF_ow*(1/365)*s_ED_out*(s_ET_ow_o+s_ET_ow_i)*(1/24)*s_RadSpec!V27*s_RadSpec!Q27*1</f>
        <v>0.17011592662572816</v>
      </c>
      <c r="U27" s="43">
        <f>s_C*s_EF_ow*(1/365)*s_ED_out*(s_ET_ow_o+s_ET_ow_i)*(1/24)*s_RadSpec!W27*s_RadSpec!R27*1</f>
        <v>5.7352037232174198E-2</v>
      </c>
      <c r="V27" s="43">
        <f>s_C*s_EF_ow*(1/365)*s_ED_out*(s_ET_ow_o+s_ET_ow_i)*(1/24)*s_RadSpec!X27*s_RadSpec!S27*1</f>
        <v>9.35481284647455E-2</v>
      </c>
      <c r="W27" s="43">
        <f>s_C*s_EF_ow*(1/365)*s_ED_out*(s_ET_ow_o+s_ET_ow_i)*(1/24)*s_RadSpec!Y27*s_RadSpec!T27*1</f>
        <v>0.12859532153096981</v>
      </c>
      <c r="X27" s="43">
        <f>s_C*s_EF_ow*(1/365)*s_ED_out*(s_ET_ow_o+s_ET_ow_i)*(1/24)*s_RadSpec!U27*s_RadSpec!P27*1</f>
        <v>1.8335153199655875E-2</v>
      </c>
      <c r="Y27" s="11"/>
      <c r="Z27" s="11"/>
      <c r="AA27" s="11"/>
      <c r="AB27" s="11"/>
      <c r="AC27" s="11"/>
      <c r="AD27" s="22" t="str">
        <f>IFERROR(s_TR/(s_RadSpec!G27*s_EF_ow*s_ED_out*(s_ET_ow_o+s_ET_ow_i)*(1/24)*s_IRA_ow),".")</f>
        <v>.</v>
      </c>
      <c r="AE27" s="22">
        <f>IFERROR(s_TR/(s_RadSpec!J27*s_EF_ow*(1/365)*s_ED_out*(s_ET_ow_o+s_ET_ow_i)*(1/24)*s_GSF_a),".")</f>
        <v>3388986.5154930782</v>
      </c>
      <c r="AF27" s="22">
        <f t="shared" si="6"/>
        <v>3388986.5154930782</v>
      </c>
      <c r="AG27" s="43">
        <f t="shared" si="4"/>
        <v>34375</v>
      </c>
      <c r="AH27" s="43">
        <f t="shared" si="5"/>
        <v>1.5696347031963471</v>
      </c>
      <c r="AI27" s="10"/>
      <c r="AJ27" s="10"/>
      <c r="AK27" s="10"/>
    </row>
    <row r="28" spans="1:37" x14ac:dyDescent="0.25">
      <c r="A28" s="23" t="s">
        <v>38</v>
      </c>
      <c r="B28" s="24" t="s">
        <v>289</v>
      </c>
      <c r="C28" s="2"/>
      <c r="D28" s="22" t="str">
        <f>IFERROR((s_TR/(s_RadSpec!I28*s_EF_ow*s_ED_out*s_IRS_ow*(1/1000)))*1,".")</f>
        <v>.</v>
      </c>
      <c r="E28" s="22" t="str">
        <f>IFERROR(IF(A28="H-3",(s_TR/(s_RadSpec!G28*s_EF_ow*s_ED_out*(s_ET_ow_o+s_ET_ow_i)*(1/24)*s_IRA_ow*(1/17)*1000))*1,(s_TR/(s_RadSpec!G28*s_EF_ow*s_ED_out*(s_ET_ow_o+s_ET_ow_i)*(1/24)*s_IRA_ow*(1/s_PEF_wind)*1000))*1),".")</f>
        <v>.</v>
      </c>
      <c r="F28" s="22">
        <f>IFERROR((s_TR/(s_RadSpec!F28*s_EF_ow*(1/365)*s_ED_out*s_RadSpec!Q28*(s_ET_ow_o+s_ET_ow_i)*(1/24)*s_RadSpec!V28))*1,".")</f>
        <v>12.600541394677991</v>
      </c>
      <c r="G28" s="22">
        <f t="shared" si="0"/>
        <v>12.600541394677991</v>
      </c>
      <c r="H28" s="43">
        <f t="shared" si="1"/>
        <v>137.5</v>
      </c>
      <c r="I28" s="43">
        <f t="shared" si="2"/>
        <v>0.11080293013295324</v>
      </c>
      <c r="J28" s="43">
        <f>s_C*s_EF_ow*(1/365)*s_ED_out*(s_ET_ow_o+s_ET_ow_i)*(1/24)*s_RadSpec!V28*s_RadSpec!Q28*1</f>
        <v>0.38443493150684932</v>
      </c>
      <c r="K28" s="4"/>
      <c r="L28" s="4"/>
      <c r="M28" s="4"/>
      <c r="N28" s="4"/>
      <c r="O28" s="22">
        <f>IFERROR((s_TR/(s_RadSpec!F28*s_EF_ow*(1/365)*s_ED_out*s_RadSpec!Q28*(s_ET_ow_o+s_ET_ow_i)*(1/24)*s_RadSpec!V28))*1,".")</f>
        <v>12.600541394677991</v>
      </c>
      <c r="P28" s="22">
        <f>IFERROR((s_TR/(s_RadSpec!M28*s_EF_ow*(1/365)*s_ED_out*s_RadSpec!R28*(s_ET_ow_o+s_ET_ow_i)*(1/24)*s_RadSpec!W28))*1,".")</f>
        <v>152.1945035706986</v>
      </c>
      <c r="Q28" s="22">
        <f>IFERROR((s_TR/(s_RadSpec!N28*s_EF_ow*(1/365)*s_ED_out*s_RadSpec!S28*(s_ET_ow_o+s_ET_ow_i)*(1/24)*s_RadSpec!X28))*1,".")</f>
        <v>36.785074421013142</v>
      </c>
      <c r="R28" s="22">
        <f>IFERROR((s_TR/(s_RadSpec!O28*s_EF_ow*(1/365)*s_ED_out*s_RadSpec!T28*(s_ET_ow_o+s_ET_ow_i)*(1/24)*s_RadSpec!Y28))*1,".")</f>
        <v>20.014254088400751</v>
      </c>
      <c r="S28" s="22">
        <f>IFERROR((s_TR/(s_RadSpec!K28*s_EF_ow*(1/365)*s_ED_out*s_RadSpec!P28*(s_ET_ow_o+s_ET_ow_i)*(1/24)*s_RadSpec!U28))*1,".")</f>
        <v>274.62000560846838</v>
      </c>
      <c r="T28" s="43">
        <f>s_C*s_EF_ow*(1/365)*s_ED_out*(s_ET_ow_o+s_ET_ow_i)*(1/24)*s_RadSpec!V28*s_RadSpec!Q28*1</f>
        <v>0.38443493150684932</v>
      </c>
      <c r="U28" s="43">
        <f>s_C*s_EF_ow*(1/365)*s_ED_out*(s_ET_ow_o+s_ET_ow_i)*(1/24)*s_RadSpec!W28*s_RadSpec!R28*1</f>
        <v>0.17240314752591826</v>
      </c>
      <c r="V28" s="43">
        <f>s_C*s_EF_ow*(1/365)*s_ED_out*(s_ET_ow_o+s_ET_ow_i)*(1/24)*s_RadSpec!X28*s_RadSpec!S28*1</f>
        <v>0.24831621004566223</v>
      </c>
      <c r="W28" s="43">
        <f>s_C*s_EF_ow*(1/365)*s_ED_out*(s_ET_ow_o+s_ET_ow_i)*(1/24)*s_RadSpec!Y28*s_RadSpec!T28*1</f>
        <v>0.286804576282568</v>
      </c>
      <c r="X28" s="43">
        <f>s_C*s_EF_ow*(1/365)*s_ED_out*(s_ET_ow_o+s_ET_ow_i)*(1/24)*s_RadSpec!U28*s_RadSpec!P28*1</f>
        <v>9.8069738480697347E-2</v>
      </c>
      <c r="Y28" s="11"/>
      <c r="Z28" s="11"/>
      <c r="AA28" s="11"/>
      <c r="AB28" s="11"/>
      <c r="AC28" s="11"/>
      <c r="AD28" s="22" t="str">
        <f>IFERROR(s_TR/(s_RadSpec!G28*s_EF_ow*s_ED_out*(s_ET_ow_o+s_ET_ow_i)*(1/24)*s_IRA_ow),".")</f>
        <v>.</v>
      </c>
      <c r="AE28" s="22">
        <f>IFERROR(s_TR/(s_RadSpec!J28*s_EF_ow*(1/365)*s_ED_out*(s_ET_ow_o+s_ET_ow_i)*(1/24)*s_GSF_a),".")</f>
        <v>3326.9928597218632</v>
      </c>
      <c r="AF28" s="22">
        <f t="shared" si="6"/>
        <v>3326.9928597218632</v>
      </c>
      <c r="AG28" s="43">
        <f t="shared" si="4"/>
        <v>34375</v>
      </c>
      <c r="AH28" s="43">
        <f t="shared" si="5"/>
        <v>1.5696347031963471</v>
      </c>
      <c r="AI28" s="10"/>
      <c r="AJ28" s="10"/>
      <c r="AK28" s="10"/>
    </row>
    <row r="29" spans="1:37" x14ac:dyDescent="0.25">
      <c r="A29" s="23" t="s">
        <v>39</v>
      </c>
      <c r="B29" s="24" t="s">
        <v>289</v>
      </c>
      <c r="C29" s="109"/>
      <c r="D29" s="22" t="str">
        <f>IFERROR((s_TR/(s_RadSpec!I29*s_EF_ow*s_ED_out*s_IRS_ow*(1/1000)))*1,".")</f>
        <v>.</v>
      </c>
      <c r="E29" s="22" t="str">
        <f>IFERROR(IF(A29="H-3",(s_TR/(s_RadSpec!G29*s_EF_ow*s_ED_out*(s_ET_ow_o+s_ET_ow_i)*(1/24)*s_IRA_ow*(1/17)*1000))*1,(s_TR/(s_RadSpec!G29*s_EF_ow*s_ED_out*(s_ET_ow_o+s_ET_ow_i)*(1/24)*s_IRA_ow*(1/s_PEF_wind)*1000))*1),".")</f>
        <v>.</v>
      </c>
      <c r="F29" s="22">
        <f>IFERROR((s_TR/(s_RadSpec!F29*s_EF_ow*(1/365)*s_ED_out*s_RadSpec!Q29*(s_ET_ow_o+s_ET_ow_i)*(1/24)*s_RadSpec!V29))*1,".")</f>
        <v>10.532710823424532</v>
      </c>
      <c r="G29" s="22">
        <f t="shared" si="0"/>
        <v>10.532710823424532</v>
      </c>
      <c r="H29" s="43">
        <f t="shared" si="1"/>
        <v>137.5</v>
      </c>
      <c r="I29" s="43">
        <f t="shared" si="2"/>
        <v>0.11080293013295324</v>
      </c>
      <c r="J29" s="43">
        <f>s_C*s_EF_ow*(1/365)*s_ED_out*(s_ET_ow_o+s_ET_ow_i)*(1/24)*s_RadSpec!V29*s_RadSpec!Q29*1</f>
        <v>0.35353003161222324</v>
      </c>
      <c r="K29" s="4"/>
      <c r="L29" s="4"/>
      <c r="M29" s="4"/>
      <c r="N29" s="4"/>
      <c r="O29" s="22">
        <f>IFERROR((s_TR/(s_RadSpec!F29*s_EF_ow*(1/365)*s_ED_out*s_RadSpec!Q29*(s_ET_ow_o+s_ET_ow_i)*(1/24)*s_RadSpec!V29))*1,".")</f>
        <v>10.532710823424532</v>
      </c>
      <c r="P29" s="22">
        <f>IFERROR((s_TR/(s_RadSpec!M29*s_EF_ow*(1/365)*s_ED_out*s_RadSpec!R29*(s_ET_ow_o+s_ET_ow_i)*(1/24)*s_RadSpec!W29))*1,".")</f>
        <v>113.58228987030263</v>
      </c>
      <c r="Q29" s="22">
        <f>IFERROR((s_TR/(s_RadSpec!N29*s_EF_ow*(1/365)*s_ED_out*s_RadSpec!S29*(s_ET_ow_o+s_ET_ow_i)*(1/24)*s_RadSpec!X29))*1,".")</f>
        <v>28.246107220799573</v>
      </c>
      <c r="R29" s="22">
        <f>IFERROR((s_TR/(s_RadSpec!O29*s_EF_ow*(1/365)*s_ED_out*s_RadSpec!T29*(s_ET_ow_o+s_ET_ow_i)*(1/24)*s_RadSpec!Y29))*1,".")</f>
        <v>15.011316032101041</v>
      </c>
      <c r="S29" s="22">
        <f>IFERROR((s_TR/(s_RadSpec!K29*s_EF_ow*(1/365)*s_ED_out*s_RadSpec!P29*(s_ET_ow_o+s_ET_ow_i)*(1/24)*s_RadSpec!U29))*1,".")</f>
        <v>210.68997147841458</v>
      </c>
      <c r="T29" s="43">
        <f>s_C*s_EF_ow*(1/365)*s_ED_out*(s_ET_ow_o+s_ET_ow_i)*(1/24)*s_RadSpec!V29*s_RadSpec!Q29*1</f>
        <v>0.35353003161222324</v>
      </c>
      <c r="U29" s="43">
        <f>s_C*s_EF_ow*(1/365)*s_ED_out*(s_ET_ow_o+s_ET_ow_i)*(1/24)*s_RadSpec!W29*s_RadSpec!R29*1</f>
        <v>0.17716668927166698</v>
      </c>
      <c r="V29" s="43">
        <f>s_C*s_EF_ow*(1/365)*s_ED_out*(s_ET_ow_o+s_ET_ow_i)*(1/24)*s_RadSpec!X29*s_RadSpec!S29*1</f>
        <v>0.24869139102349933</v>
      </c>
      <c r="W29" s="43">
        <f>s_C*s_EF_ow*(1/365)*s_ED_out*(s_ET_ow_o+s_ET_ow_i)*(1/24)*s_RadSpec!Y29*s_RadSpec!T29*1</f>
        <v>0.2931788957119616</v>
      </c>
      <c r="X29" s="43">
        <f>s_C*s_EF_ow*(1/365)*s_ED_out*(s_ET_ow_o+s_ET_ow_i)*(1/24)*s_RadSpec!U29*s_RadSpec!P29*1</f>
        <v>9.8662752772341808E-2</v>
      </c>
      <c r="Y29" s="11"/>
      <c r="Z29" s="11"/>
      <c r="AA29" s="11"/>
      <c r="AB29" s="11"/>
      <c r="AC29" s="11"/>
      <c r="AD29" s="22" t="str">
        <f>IFERROR(s_TR/(s_RadSpec!G29*s_EF_ow*s_ED_out*(s_ET_ow_o+s_ET_ow_i)*(1/24)*s_IRA_ow),".")</f>
        <v>.</v>
      </c>
      <c r="AE29" s="22">
        <f>IFERROR(s_TR/(s_RadSpec!J29*s_EF_ow*(1/365)*s_ED_out*(s_ET_ow_o+s_ET_ow_i)*(1/24)*s_GSF_a),".")</f>
        <v>2573.7114575206856</v>
      </c>
      <c r="AF29" s="22">
        <f t="shared" si="6"/>
        <v>2573.7114575206856</v>
      </c>
      <c r="AG29" s="43">
        <f t="shared" si="4"/>
        <v>34375</v>
      </c>
      <c r="AH29" s="43">
        <f t="shared" si="5"/>
        <v>1.5696347031963471</v>
      </c>
      <c r="AI29" s="10"/>
      <c r="AJ29" s="10"/>
      <c r="AK29" s="10"/>
    </row>
    <row r="30" spans="1:37" x14ac:dyDescent="0.25">
      <c r="A30" s="23" t="s">
        <v>40</v>
      </c>
      <c r="B30" s="24" t="s">
        <v>289</v>
      </c>
      <c r="C30" s="2"/>
      <c r="D30" s="22">
        <f>IFERROR((s_TR/(s_RadSpec!I30*s_EF_ow*s_ED_out*s_IRS_ow*(1/1000)))*1,".")</f>
        <v>6970.2197361771841</v>
      </c>
      <c r="E30" s="22">
        <f>IFERROR(IF(A30="H-3",(s_TR/(s_RadSpec!G30*s_EF_ow*s_ED_out*(s_ET_ow_o+s_ET_ow_i)*(1/24)*s_IRA_ow*(1/17)*1000))*1,(s_TR/(s_RadSpec!G30*s_EF_ow*s_ED_out*(s_ET_ow_o+s_ET_ow_i)*(1/24)*s_IRA_ow*(1/s_PEF_wind)*1000))*1),".")</f>
        <v>15942.469685486163</v>
      </c>
      <c r="F30" s="22">
        <f>IFERROR((s_TR/(s_RadSpec!F30*s_EF_ow*(1/365)*s_ED_out*s_RadSpec!Q30*(s_ET_ow_o+s_ET_ow_i)*(1/24)*s_RadSpec!V30))*1,".")</f>
        <v>1866539.5080541375</v>
      </c>
      <c r="G30" s="22">
        <f t="shared" si="0"/>
        <v>4837.2556249906565</v>
      </c>
      <c r="H30" s="43">
        <f t="shared" si="1"/>
        <v>137.5</v>
      </c>
      <c r="I30" s="43">
        <f t="shared" si="2"/>
        <v>0.11080293013295324</v>
      </c>
      <c r="J30" s="43">
        <f>s_C*s_EF_ow*(1/365)*s_ED_out*(s_ET_ow_o+s_ET_ow_i)*(1/24)*s_RadSpec!V30*s_RadSpec!Q30*1</f>
        <v>3.7671232876712334E-2</v>
      </c>
      <c r="K30" s="4"/>
      <c r="L30" s="4"/>
      <c r="M30" s="4"/>
      <c r="N30" s="4"/>
      <c r="O30" s="22">
        <f>IFERROR((s_TR/(s_RadSpec!F30*s_EF_ow*(1/365)*s_ED_out*s_RadSpec!Q30*(s_ET_ow_o+s_ET_ow_i)*(1/24)*s_RadSpec!V30))*1,".")</f>
        <v>1866539.5080541375</v>
      </c>
      <c r="P30" s="22">
        <f>IFERROR((s_TR/(s_RadSpec!M30*s_EF_ow*(1/365)*s_ED_out*s_RadSpec!R30*(s_ET_ow_o+s_ET_ow_i)*(1/24)*s_RadSpec!W30))*1,".")</f>
        <v>31355679.431622181</v>
      </c>
      <c r="Q30" s="22">
        <f>IFERROR((s_TR/(s_RadSpec!N30*s_EF_ow*(1/365)*s_ED_out*s_RadSpec!S30*(s_ET_ow_o+s_ET_ow_i)*(1/24)*s_RadSpec!X30))*1,".")</f>
        <v>4628217.4921841472</v>
      </c>
      <c r="R30" s="22">
        <f>IFERROR((s_TR/(s_RadSpec!O30*s_EF_ow*(1/365)*s_ED_out*s_RadSpec!T30*(s_ET_ow_o+s_ET_ow_i)*(1/24)*s_RadSpec!Y30))*1,".")</f>
        <v>2536091.1036041267</v>
      </c>
      <c r="S30" s="22">
        <f>IFERROR((s_TR/(s_RadSpec!K30*s_EF_ow*(1/365)*s_ED_out*s_RadSpec!P30*(s_ET_ow_o+s_ET_ow_i)*(1/24)*s_RadSpec!U30))*1,".")</f>
        <v>445773553.09998822</v>
      </c>
      <c r="T30" s="43">
        <f>s_C*s_EF_ow*(1/365)*s_ED_out*(s_ET_ow_o+s_ET_ow_i)*(1/24)*s_RadSpec!V30*s_RadSpec!Q30*1</f>
        <v>3.7671232876712334E-2</v>
      </c>
      <c r="U30" s="43">
        <f>s_C*s_EF_ow*(1/365)*s_ED_out*(s_ET_ow_o+s_ET_ow_i)*(1/24)*s_RadSpec!W30*s_RadSpec!R30*1</f>
        <v>7.6896245560629153E-3</v>
      </c>
      <c r="V30" s="43">
        <f>s_C*s_EF_ow*(1/365)*s_ED_out*(s_ET_ow_o+s_ET_ow_i)*(1/24)*s_RadSpec!X30*s_RadSpec!S30*1</f>
        <v>2.1338371909935452E-2</v>
      </c>
      <c r="W30" s="43">
        <f>s_C*s_EF_ow*(1/365)*s_ED_out*(s_ET_ow_o+s_ET_ow_i)*(1/24)*s_RadSpec!Y30*s_RadSpec!T30*1</f>
        <v>2.8667126827368931E-2</v>
      </c>
      <c r="X30" s="43">
        <f>s_C*s_EF_ow*(1/365)*s_ED_out*(s_ET_ow_o+s_ET_ow_i)*(1/24)*s_RadSpec!U30*s_RadSpec!P30*1</f>
        <v>3.1392694063926945E-4</v>
      </c>
      <c r="Y30" s="11"/>
      <c r="Z30" s="11"/>
      <c r="AA30" s="11"/>
      <c r="AB30" s="11"/>
      <c r="AC30" s="11"/>
      <c r="AD30" s="22">
        <f>IFERROR(s_TR/(s_RadSpec!G30*s_EF_ow*s_ED_out*(s_ET_ow_o+s_ET_ow_i)*(1/24)*s_IRA_ow),".")</f>
        <v>5.1388286682404326E-2</v>
      </c>
      <c r="AE30" s="22">
        <f>IFERROR(s_TR/(s_RadSpec!J30*s_EF_ow*(1/365)*s_ED_out*(s_ET_ow_o+s_ET_ow_i)*(1/24)*s_GSF_a),".")</f>
        <v>33974273.287321642</v>
      </c>
      <c r="AF30" s="22">
        <f t="shared" si="6"/>
        <v>5.1388286604676217E-2</v>
      </c>
      <c r="AG30" s="43">
        <f t="shared" si="4"/>
        <v>34375</v>
      </c>
      <c r="AH30" s="43">
        <f t="shared" si="5"/>
        <v>1.5696347031963471</v>
      </c>
      <c r="AI30" s="10"/>
      <c r="AJ30" s="10"/>
      <c r="AK30" s="10"/>
    </row>
    <row r="31" spans="1:37" x14ac:dyDescent="0.25">
      <c r="A31" s="26" t="s">
        <v>13</v>
      </c>
      <c r="B31" s="26" t="s">
        <v>289</v>
      </c>
      <c r="C31" s="110"/>
      <c r="D31" s="27">
        <f>1/SUM(1/D32,1/D33,1/D34,1/D35,1/D36,1/D37,1/D38,1/D41,1/D44)</f>
        <v>655.5647744244834</v>
      </c>
      <c r="E31" s="27">
        <f>1/SUM(1/E32,1/E33,1/E34,1/E35,1/E36,1/E37,1/E38,1/E41,1/E44)</f>
        <v>1392.0108344758319</v>
      </c>
      <c r="F31" s="27">
        <f>1/SUM(1/F32,1/F33,1/F34,1/F35,1/F36,1/F37,1/F38,1/F39,1/F40,1/F41,1/F42,1/F43)</f>
        <v>165.51933405504511</v>
      </c>
      <c r="G31" s="28">
        <f>1/SUM(1/G32,1/G33,1/G34,1/G35,1/G36,1/G37,1/G38,1/G39,1/G40,1/G41,1/G42,1/G43,1/G44)</f>
        <v>120.69455702743136</v>
      </c>
      <c r="H31" s="45"/>
      <c r="I31" s="45"/>
      <c r="J31" s="45"/>
      <c r="K31" s="46">
        <f>IFERROR(IF(SUM(H32:H44)&gt;0.01,1-EXP(-SUM(H32:H44)),SUM(H32:H44)),".")</f>
        <v>7.6270113878364981E-8</v>
      </c>
      <c r="L31" s="46">
        <f>IFERROR(IF(SUM(I32:I44)&gt;0.01,1-EXP(-SUM(I32:I44)),SUM(I32:I44)),".")</f>
        <v>3.5919260656349515E-8</v>
      </c>
      <c r="M31" s="46">
        <f>IFERROR(IF(SUM(J32:J44)&gt;0.01,1-EXP(-SUM(J32:J44)),SUM(J32:J44)),".")</f>
        <v>3.0207951406674948E-7</v>
      </c>
      <c r="N31" s="46">
        <f>IFERROR(IF(SUM(H32:J44)&gt;0.01,1-EXP(-SUM(H32:J44)),SUM(H32:J44)),".")</f>
        <v>4.1426888860146402E-7</v>
      </c>
      <c r="O31" s="27">
        <f t="shared" ref="O31:S31" si="7">1/SUM(1/O32,1/O33,1/O34,1/O35,1/O36,1/O37,1/O38,1/O39,1/O40,1/O41,1/O42,1/O43)</f>
        <v>165.51933405504511</v>
      </c>
      <c r="P31" s="27">
        <f t="shared" si="7"/>
        <v>1430.140730611771</v>
      </c>
      <c r="Q31" s="27">
        <f t="shared" si="7"/>
        <v>374.0225715751842</v>
      </c>
      <c r="R31" s="27">
        <f t="shared" si="7"/>
        <v>222.35736455997207</v>
      </c>
      <c r="S31" s="27">
        <f t="shared" si="7"/>
        <v>3115.8061323430579</v>
      </c>
      <c r="T31" s="45"/>
      <c r="U31" s="37"/>
      <c r="V31" s="37"/>
      <c r="W31" s="37"/>
      <c r="X31" s="37"/>
      <c r="Y31" s="46">
        <f>IFERROR(IF(SUM(T32:T44)&gt;0.01,1-EXP(-SUM(T32:T44)),SUM(T32:T44)),".")</f>
        <v>3.0207951406674948E-7</v>
      </c>
      <c r="Z31" s="46">
        <f t="shared" ref="Z31:AC31" si="8">IFERROR(IF(SUM(U32:U44)&gt;0.01,1-EXP(-SUM(U32:U44)),SUM(U32:U44)),".")</f>
        <v>3.4961594289123919E-8</v>
      </c>
      <c r="AA31" s="46">
        <f t="shared" si="8"/>
        <v>1.3368177163593792E-7</v>
      </c>
      <c r="AB31" s="46">
        <f t="shared" si="8"/>
        <v>2.2486325154530457E-7</v>
      </c>
      <c r="AC31" s="46">
        <f t="shared" si="8"/>
        <v>1.6047211500415295E-8</v>
      </c>
      <c r="AD31" s="27">
        <f>1/SUM(1/AD32,1/AD33,1/AD34,1/AD35,1/AD36,1/AD37,1/AD38,1/AD41,1/AD44)</f>
        <v>4.4869492141596948E-3</v>
      </c>
      <c r="AE31" s="27">
        <f t="shared" ref="AE31:AF31" si="9">1/SUM(1/AE32,1/AE33,1/AE34,1/AE35,1/AE36,1/AE37,1/AE38,1/AE39,1/AE40,1/AE41,1/AE42,1/AE43,1/AE44)</f>
        <v>14415.209756149465</v>
      </c>
      <c r="AF31" s="28">
        <f t="shared" si="9"/>
        <v>4.4869478175302091E-3</v>
      </c>
      <c r="AG31" s="45"/>
      <c r="AH31" s="45"/>
      <c r="AI31" s="46">
        <f>IFERROR(IF(SUM(AG32:AG44)&gt;0.01,1-EXP(-SUM(AG32:AG44)),SUM(AG32:AG44)),".")</f>
        <v>1.1081570979619815E-2</v>
      </c>
      <c r="AJ31" s="46">
        <f>IFERROR(IF(SUM(AH32:AH44)&gt;0.01,1-EXP(-SUM(AH32:AH44)),SUM(AH32:AH44)),".")</f>
        <v>3.4685586159209527E-9</v>
      </c>
      <c r="AK31" s="46">
        <f>IFERROR(IF(SUM(AG32:AH44)&gt;0.01,1-EXP(-SUM(AG32:AH44)),SUM(AG32:AH44)),".")</f>
        <v>1.1081574409741335E-2</v>
      </c>
    </row>
    <row r="32" spans="1:37" x14ac:dyDescent="0.25">
      <c r="A32" s="29" t="s">
        <v>290</v>
      </c>
      <c r="B32" s="24">
        <v>1</v>
      </c>
      <c r="C32" s="2"/>
      <c r="D32" s="30">
        <f>IFERROR(D3/$B32,0)</f>
        <v>3995.1259463454585</v>
      </c>
      <c r="E32" s="30">
        <f>IFERROR(E3/$B32,0)</f>
        <v>11956.85226411463</v>
      </c>
      <c r="F32" s="30">
        <f>IFERROR(F3/$B32,0)</f>
        <v>4008334.5258403104</v>
      </c>
      <c r="G32" s="30">
        <f>IF(AND(D32&lt;&gt;0,E32&lt;&gt;0,F32&lt;&gt;0),1/((1/D32)+(1/E32)+(1/F32)),IF(AND(D32&lt;&gt;0,E32&lt;&gt;0,F32=0), 1/((1/D32)+(1/E32)),IF(AND(D32&lt;&gt;0,E32=0,F32&lt;&gt;0),1/((1/D32)+(1/F32)),IF(AND(D32=0,E32&lt;&gt;0,F32&lt;&gt;0),1/((1/E32)+(1/F32)),IF(AND(D32&lt;&gt;0,E32=0,F32=0),1/((1/D32)),IF(AND(D32=0,E32&lt;&gt;0,F32=0),1/((1/E32)),IF(AND(D32=0,E32=0,F32&lt;&gt;0),1/((1/F32)),IF(AND(D32=0,E32=0,F32=0),0))))))))</f>
        <v>2992.3229097518374</v>
      </c>
      <c r="H32" s="38">
        <f>IFERROR(s_RadSpec!$I$3*H3,".")*$B$32</f>
        <v>1.251525E-8</v>
      </c>
      <c r="I32" s="38">
        <f>IFERROR(s_RadSpec!$G$3*I3,".")*$B$32</f>
        <v>4.1817025832176553E-9</v>
      </c>
      <c r="J32" s="38">
        <f>IFERROR(s_RadSpec!$F$3*J3,".")*$B$32</f>
        <v>1.247400876290832E-11</v>
      </c>
      <c r="K32" s="47">
        <f t="shared" ref="K32:M44" si="10">IFERROR(IF(H32&gt;0.01,1-EXP(-H32),H32),".")</f>
        <v>1.251525E-8</v>
      </c>
      <c r="L32" s="47">
        <f t="shared" si="10"/>
        <v>4.1817025832176553E-9</v>
      </c>
      <c r="M32" s="47">
        <f t="shared" si="10"/>
        <v>1.247400876290832E-11</v>
      </c>
      <c r="N32" s="47">
        <f>IFERROR(IF(SUM(H32:J32)&gt;0.01,1-EXP(-SUM(H32:J32)),SUM(H32:J32)),".")</f>
        <v>1.6709426591980565E-8</v>
      </c>
      <c r="O32" s="30">
        <f t="shared" ref="O32:AE32" si="11">IFERROR(O3/$B32,0)</f>
        <v>4008334.5258403104</v>
      </c>
      <c r="P32" s="30">
        <f t="shared" si="11"/>
        <v>11307474.982238051</v>
      </c>
      <c r="Q32" s="30">
        <f t="shared" si="11"/>
        <v>4573649.5043918435</v>
      </c>
      <c r="R32" s="30">
        <f t="shared" si="11"/>
        <v>4392333.1431488255</v>
      </c>
      <c r="S32" s="30">
        <f t="shared" si="11"/>
        <v>12907592.694386944</v>
      </c>
      <c r="T32" s="38">
        <f>IFERROR(s_RadSpec!$F$3*T3,".")*$B$32</f>
        <v>1.247400876290832E-11</v>
      </c>
      <c r="U32" s="38">
        <f>IFERROR(s_RadSpec!$M$3*U3,".")*$B$32</f>
        <v>4.4218536922293222E-12</v>
      </c>
      <c r="V32" s="38">
        <f>IFERROR(s_RadSpec!$N$3*V3,".")*$B$32</f>
        <v>1.0932188824698425E-11</v>
      </c>
      <c r="W32" s="38">
        <f>IFERROR(s_RadSpec!$O$3*W3,".")*$B$32</f>
        <v>1.138347169271305E-11</v>
      </c>
      <c r="X32" s="38">
        <f>IFERROR(s_RadSpec!$K$3*X3,".")*$B$32</f>
        <v>3.8736890126493716E-12</v>
      </c>
      <c r="Y32" s="47">
        <f>IFERROR(IF(T32&gt;0.01,1-EXP(-T32),T32),".")</f>
        <v>1.247400876290832E-11</v>
      </c>
      <c r="Z32" s="47">
        <f t="shared" ref="Z32:AC44" si="12">IFERROR(IF(U32&gt;0.01,1-EXP(-U32),U32),".")</f>
        <v>4.4218536922293222E-12</v>
      </c>
      <c r="AA32" s="47">
        <f t="shared" si="12"/>
        <v>1.0932188824698425E-11</v>
      </c>
      <c r="AB32" s="47">
        <f t="shared" si="12"/>
        <v>1.138347169271305E-11</v>
      </c>
      <c r="AC32" s="47">
        <f t="shared" si="12"/>
        <v>3.8736890126493716E-12</v>
      </c>
      <c r="AD32" s="30">
        <f t="shared" si="11"/>
        <v>3.8541215011803263E-2</v>
      </c>
      <c r="AE32" s="30">
        <f t="shared" si="11"/>
        <v>548920.35110099148</v>
      </c>
      <c r="AF32" s="30">
        <f>IFERROR(IF(AND(AD32&lt;&gt;0,AE32&lt;&gt;0),1/((1/AD32)+(1/AE32)),IF(AND(AD32&lt;&gt;0,AE32=0),1/((1/AD32)),IF(AND(AD32=0,AE32&lt;&gt;0),1/((1/AE32)),IF(AND(AD32=0,AE32=0),0)))),0)</f>
        <v>3.854121230571822E-2</v>
      </c>
      <c r="AG32" s="38">
        <f>IFERROR(s_RadSpec!$G$3*AG3,".")*$B$32</f>
        <v>1.2973125000000001E-3</v>
      </c>
      <c r="AH32" s="38">
        <f>IFERROR(s_RadSpec!$J$3*AH3,".")*$B$32</f>
        <v>9.1087896267123289E-11</v>
      </c>
      <c r="AI32" s="47">
        <f>IFERROR(IF(AG32&gt;0.01,1-EXP(-AG32),AG32),".")</f>
        <v>1.2973125000000001E-3</v>
      </c>
      <c r="AJ32" s="47">
        <f>IFERROR(IF(AH32&gt;0.01,1-EXP(-AH32),AH32),".")</f>
        <v>9.1087896267123289E-11</v>
      </c>
      <c r="AK32" s="47">
        <f>IFERROR(IF(SUM(AG32:AH32)&gt;0.01,1-EXP(-SUM(AG32:AH32)),SUM(AG32:AH32)),".")</f>
        <v>1.2973125910878964E-3</v>
      </c>
    </row>
    <row r="33" spans="1:37" x14ac:dyDescent="0.25">
      <c r="A33" s="29" t="s">
        <v>291</v>
      </c>
      <c r="B33" s="24">
        <v>1</v>
      </c>
      <c r="C33" s="2"/>
      <c r="D33" s="30">
        <f t="shared" ref="D33:F34" si="13">IFERROR(D13/$B33,0)</f>
        <v>7738.5904157557707</v>
      </c>
      <c r="E33" s="30">
        <f t="shared" si="13"/>
        <v>15736.760399221832</v>
      </c>
      <c r="F33" s="30">
        <f t="shared" si="13"/>
        <v>52962.293819483144</v>
      </c>
      <c r="G33" s="30">
        <f>IF(AND(D33&lt;&gt;0,E33&lt;&gt;0,F33&lt;&gt;0),1/((1/D33)+(1/E33)+(1/F33)),IF(AND(D33&lt;&gt;0,E33&lt;&gt;0,F33=0), 1/((1/D33)+(1/E33)),IF(AND(D33&lt;&gt;0,E33=0,F33&lt;&gt;0),1/((1/D33)+(1/F33)),IF(AND(D33=0,E33&lt;&gt;0,F33&lt;&gt;0),1/((1/E33)+(1/F33)),IF(AND(D33&lt;&gt;0,E33=0,F33=0),1/((1/D33)),IF(AND(D33=0,E33&lt;&gt;0,F33=0),1/((1/E33)),IF(AND(D33=0,E33=0,F33&lt;&gt;0),1/((1/F33)),IF(AND(D33=0,E33=0,F33=0),0))))))))</f>
        <v>4724.7962601625859</v>
      </c>
      <c r="H33" s="38">
        <f>IFERROR(s_RadSpec!$I$13*H13,".")*$B$33</f>
        <v>6.4611250000000001E-9</v>
      </c>
      <c r="I33" s="38">
        <f>IFERROR(s_RadSpec!$G$13*I13,".")*$B$33</f>
        <v>3.177274021562434E-9</v>
      </c>
      <c r="J33" s="38">
        <f>IFERROR(s_RadSpec!$F$13*J13,".")*$B$33</f>
        <v>9.4406787157709165E-10</v>
      </c>
      <c r="K33" s="47">
        <f t="shared" si="10"/>
        <v>6.4611250000000001E-9</v>
      </c>
      <c r="L33" s="47">
        <f t="shared" si="10"/>
        <v>3.177274021562434E-9</v>
      </c>
      <c r="M33" s="47">
        <f t="shared" si="10"/>
        <v>9.4406787157709165E-10</v>
      </c>
      <c r="N33" s="47">
        <f t="shared" ref="N33:N44" si="14">IFERROR(IF(SUM(H33:J33)&gt;0.01,1-EXP(-SUM(H33:J33)),SUM(H33:J33)),".")</f>
        <v>1.0582466893139526E-8</v>
      </c>
      <c r="O33" s="30">
        <f t="shared" ref="O33:AE34" si="15">IFERROR(O13/$B33,0)</f>
        <v>52962.293819483144</v>
      </c>
      <c r="P33" s="30">
        <f t="shared" si="15"/>
        <v>344321.15228614345</v>
      </c>
      <c r="Q33" s="30">
        <f t="shared" si="15"/>
        <v>85965.587252885904</v>
      </c>
      <c r="R33" s="30">
        <f t="shared" si="15"/>
        <v>56901.724804873505</v>
      </c>
      <c r="S33" s="30">
        <f t="shared" si="15"/>
        <v>2734674.8104980662</v>
      </c>
      <c r="T33" s="38">
        <f>IFERROR(s_RadSpec!$F$13*T13,".")*$B$33</f>
        <v>9.4406787157709165E-10</v>
      </c>
      <c r="U33" s="38">
        <f>IFERROR(s_RadSpec!$M$13*U13,".")*$B$33</f>
        <v>1.4521326868251239E-10</v>
      </c>
      <c r="V33" s="38">
        <f>IFERROR(s_RadSpec!$N$13*V13,".")*$B$33</f>
        <v>5.8162808628194987E-10</v>
      </c>
      <c r="W33" s="38">
        <f>IFERROR(s_RadSpec!$O$13*W13,".")*$B$33</f>
        <v>8.787079859434704E-10</v>
      </c>
      <c r="X33" s="38">
        <f>IFERROR(s_RadSpec!$K$13*X13,".")*$B$33</f>
        <v>1.8283709568704994E-11</v>
      </c>
      <c r="Y33" s="47">
        <f t="shared" ref="Y33:Y44" si="16">IFERROR(IF(T33&gt;0.01,1-EXP(-T33),T33),".")</f>
        <v>9.4406787157709165E-10</v>
      </c>
      <c r="Z33" s="47">
        <f t="shared" si="12"/>
        <v>1.4521326868251239E-10</v>
      </c>
      <c r="AA33" s="47">
        <f t="shared" si="12"/>
        <v>5.8162808628194987E-10</v>
      </c>
      <c r="AB33" s="47">
        <f t="shared" si="12"/>
        <v>8.787079859434704E-10</v>
      </c>
      <c r="AC33" s="47">
        <f t="shared" si="12"/>
        <v>1.8283709568704994E-11</v>
      </c>
      <c r="AD33" s="30">
        <f t="shared" si="15"/>
        <v>5.0725212015534607E-2</v>
      </c>
      <c r="AE33" s="30">
        <f t="shared" si="15"/>
        <v>415241.11795615341</v>
      </c>
      <c r="AF33" s="30">
        <f t="shared" ref="AF33:AF44" si="17">IFERROR(IF(AND(AD33&lt;&gt;0,AE33&lt;&gt;0),1/((1/AD33)+(1/AE33)),IF(AND(AD33&lt;&gt;0,AE33=0),1/((1/AD33)),IF(AND(AD33=0,AE33&lt;&gt;0),1/((1/AE33)),IF(AND(AD33=0,AE33=0),0)))),0)</f>
        <v>5.0725205819022005E-2</v>
      </c>
      <c r="AG33" s="38">
        <f>IFERROR(s_RadSpec!$G$13*AG13,".")*$B$33</f>
        <v>9.8570312500000003E-4</v>
      </c>
      <c r="AH33" s="38">
        <f>IFERROR(s_RadSpec!$J$13*AH13,".")*$B$33</f>
        <v>1.204119675E-10</v>
      </c>
      <c r="AI33" s="47">
        <f t="shared" ref="AI33:AJ44" si="18">IFERROR(IF(AG33&gt;0.01,1-EXP(-AG33),AG33),".")</f>
        <v>9.8570312500000003E-4</v>
      </c>
      <c r="AJ33" s="47">
        <f t="shared" si="18"/>
        <v>1.204119675E-10</v>
      </c>
      <c r="AK33" s="47">
        <f t="shared" ref="AK33:AK44" si="19">IFERROR(IF(SUM(AG33:AH33)&gt;0.01,1-EXP(-SUM(AG33:AH33)),SUM(AG33:AH33)),".")</f>
        <v>9.8570324541196754E-4</v>
      </c>
    </row>
    <row r="34" spans="1:37" x14ac:dyDescent="0.25">
      <c r="A34" s="29" t="s">
        <v>292</v>
      </c>
      <c r="B34" s="24">
        <v>1</v>
      </c>
      <c r="C34" s="2"/>
      <c r="D34" s="30">
        <f t="shared" si="13"/>
        <v>140802.43306604339</v>
      </c>
      <c r="E34" s="30">
        <f t="shared" si="13"/>
        <v>29530240.458588183</v>
      </c>
      <c r="F34" s="30">
        <f t="shared" si="13"/>
        <v>511.93253233970188</v>
      </c>
      <c r="G34" s="30">
        <f>IF(AND(D34&lt;&gt;0,E34&lt;&gt;0,F34&lt;&gt;0),1/((1/D34)+(1/E34)+(1/F34)),IF(AND(D34&lt;&gt;0,E34&lt;&gt;0,F34=0), 1/((1/D34)+(1/E34)),IF(AND(D34&lt;&gt;0,E34=0,F34&lt;&gt;0),1/((1/D34)+(1/F34)),IF(AND(D34=0,E34&lt;&gt;0,F34&lt;&gt;0),1/((1/E34)+(1/F34)),IF(AND(D34&lt;&gt;0,E34=0,F34=0),1/((1/D34)),IF(AND(D34=0,E34&lt;&gt;0,F34=0),1/((1/E34)),IF(AND(D34=0,E34=0,F34&lt;&gt;0),1/((1/F34)),IF(AND(D34=0,E34=0,F34=0),0))))))))</f>
        <v>510.06916932382467</v>
      </c>
      <c r="H34" s="38">
        <f>IFERROR(s_RadSpec!$I$14*H14,".")*$B$34</f>
        <v>3.5510750000000001E-10</v>
      </c>
      <c r="I34" s="38">
        <f>IFERROR(s_RadSpec!$G$14*I14,".")*$B$33</f>
        <v>1.6931795753616585E-12</v>
      </c>
      <c r="J34" s="38">
        <f>IFERROR(s_RadSpec!$F$14*J14,".")*$B$33</f>
        <v>9.7669120130895745E-8</v>
      </c>
      <c r="K34" s="47">
        <f t="shared" si="10"/>
        <v>3.5510750000000001E-10</v>
      </c>
      <c r="L34" s="47">
        <f t="shared" si="10"/>
        <v>1.6931795753616585E-12</v>
      </c>
      <c r="M34" s="47">
        <f t="shared" si="10"/>
        <v>9.7669120130895745E-8</v>
      </c>
      <c r="N34" s="47">
        <f t="shared" si="14"/>
        <v>9.8025920810471109E-8</v>
      </c>
      <c r="O34" s="30">
        <f t="shared" si="15"/>
        <v>511.93253233970188</v>
      </c>
      <c r="P34" s="30">
        <f t="shared" si="15"/>
        <v>3919.4180488247334</v>
      </c>
      <c r="Q34" s="30">
        <f t="shared" si="15"/>
        <v>1055.6260049413058</v>
      </c>
      <c r="R34" s="30">
        <f t="shared" si="15"/>
        <v>636.58769357939536</v>
      </c>
      <c r="S34" s="30">
        <f t="shared" si="15"/>
        <v>11085.671084088766</v>
      </c>
      <c r="T34" s="38">
        <f>IFERROR(s_RadSpec!$F$14*T14,".")*$B$33</f>
        <v>9.7669120130895745E-8</v>
      </c>
      <c r="U34" s="38">
        <f>IFERROR(s_RadSpec!$M$14*U14,".")*$B$33</f>
        <v>1.275699590529591E-8</v>
      </c>
      <c r="V34" s="38">
        <f>IFERROR(s_RadSpec!$N$14*V14,".")*$B$33</f>
        <v>4.7365259823037497E-8</v>
      </c>
      <c r="W34" s="38">
        <f>IFERROR(s_RadSpec!$O$14*W14,".")*$B$33</f>
        <v>7.8543774101036703E-8</v>
      </c>
      <c r="X34" s="38">
        <f>IFERROR(s_RadSpec!$K$14*X14,".")*$B$33</f>
        <v>4.5103268553371458E-9</v>
      </c>
      <c r="Y34" s="47">
        <f t="shared" si="16"/>
        <v>9.7669120130895745E-8</v>
      </c>
      <c r="Z34" s="47">
        <f t="shared" si="12"/>
        <v>1.275699590529591E-8</v>
      </c>
      <c r="AA34" s="47">
        <f t="shared" si="12"/>
        <v>4.7365259823037497E-8</v>
      </c>
      <c r="AB34" s="47">
        <f t="shared" si="12"/>
        <v>7.8543774101036703E-8</v>
      </c>
      <c r="AC34" s="47">
        <f t="shared" si="12"/>
        <v>4.5103268553371458E-9</v>
      </c>
      <c r="AD34" s="30">
        <f t="shared" si="15"/>
        <v>95.186535864501977</v>
      </c>
      <c r="AE34" s="30">
        <f t="shared" si="15"/>
        <v>37320.576538603658</v>
      </c>
      <c r="AF34" s="30">
        <f t="shared" si="17"/>
        <v>94.944379194013891</v>
      </c>
      <c r="AG34" s="38">
        <f>IFERROR(s_RadSpec!$G$14*AG14,".")*$B$33</f>
        <v>5.2528437500000004E-7</v>
      </c>
      <c r="AH34" s="38">
        <f>IFERROR(s_RadSpec!$J$14*AH14,".")*$B$33</f>
        <v>1.3397435044520548E-9</v>
      </c>
      <c r="AI34" s="47">
        <f t="shared" si="18"/>
        <v>5.2528437500000004E-7</v>
      </c>
      <c r="AJ34" s="47">
        <f t="shared" si="18"/>
        <v>1.3397435044520548E-9</v>
      </c>
      <c r="AK34" s="47">
        <f t="shared" si="19"/>
        <v>5.2662411850445206E-7</v>
      </c>
    </row>
    <row r="35" spans="1:37" x14ac:dyDescent="0.25">
      <c r="A35" s="29" t="s">
        <v>293</v>
      </c>
      <c r="B35" s="24">
        <v>1</v>
      </c>
      <c r="C35" s="2"/>
      <c r="D35" s="30">
        <f>IFERROR(D30/$B35,0)</f>
        <v>6970.2197361771841</v>
      </c>
      <c r="E35" s="30">
        <f>IFERROR(E30/$B35,0)</f>
        <v>15942.469685486163</v>
      </c>
      <c r="F35" s="30">
        <f>IFERROR(F30/$B35,0)</f>
        <v>1866539.5080541375</v>
      </c>
      <c r="G35" s="30">
        <f t="shared" ref="G35:G61" si="20">IF(AND(D35&lt;&gt;0,E35&lt;&gt;0,F35&lt;&gt;0),1/((1/D35)+(1/E35)+(1/F35)),IF(AND(D35&lt;&gt;0,E35&lt;&gt;0,F35=0), 1/((1/D35)+(1/E35)),IF(AND(D35&lt;&gt;0,E35=0,F35&lt;&gt;0),1/((1/D35)+(1/F35)),IF(AND(D35=0,E35&lt;&gt;0,F35&lt;&gt;0),1/((1/E35)+(1/F35)),IF(AND(D35&lt;&gt;0,E35=0,F35=0),1/((1/D35)),IF(AND(D35=0,E35&lt;&gt;0,F35=0),1/((1/E35)),IF(AND(D35=0,E35=0,F35&lt;&gt;0),1/((1/F35)),IF(AND(D35=0,E35=0,F35=0),0))))))))</f>
        <v>4837.2556249906565</v>
      </c>
      <c r="H35" s="38">
        <f>IFERROR(s_RadSpec!$I$30*H30,".")*$B$35</f>
        <v>7.1733749999999995E-9</v>
      </c>
      <c r="I35" s="38">
        <f>IFERROR(s_RadSpec!$G$30*I30,".")*$B$35</f>
        <v>3.1362769374132415E-9</v>
      </c>
      <c r="J35" s="38">
        <f>IFERROR(s_RadSpec!$F$30*J30,".")*$B$35</f>
        <v>2.6787539071232881E-11</v>
      </c>
      <c r="K35" s="47">
        <f t="shared" si="10"/>
        <v>7.1733749999999995E-9</v>
      </c>
      <c r="L35" s="47">
        <f t="shared" si="10"/>
        <v>3.1362769374132415E-9</v>
      </c>
      <c r="M35" s="47">
        <f t="shared" si="10"/>
        <v>2.6787539071232881E-11</v>
      </c>
      <c r="N35" s="47">
        <f t="shared" si="14"/>
        <v>1.0336439476484475E-8</v>
      </c>
      <c r="O35" s="30">
        <f t="shared" ref="O35:AE35" si="21">IFERROR(O30/$B35,0)</f>
        <v>1866539.5080541375</v>
      </c>
      <c r="P35" s="30">
        <f t="shared" si="21"/>
        <v>31355679.431622181</v>
      </c>
      <c r="Q35" s="30">
        <f t="shared" si="21"/>
        <v>4628217.4921841472</v>
      </c>
      <c r="R35" s="30">
        <f t="shared" si="21"/>
        <v>2536091.1036041267</v>
      </c>
      <c r="S35" s="30">
        <f t="shared" si="21"/>
        <v>445773553.09998822</v>
      </c>
      <c r="T35" s="38">
        <f>IFERROR(s_RadSpec!$F$30*T30,".")*$B$35</f>
        <v>2.6787539071232881E-11</v>
      </c>
      <c r="U35" s="38">
        <f>IFERROR(s_RadSpec!$M$30*U30,".")*$B$35</f>
        <v>1.5946074493150692E-12</v>
      </c>
      <c r="V35" s="38">
        <f>IFERROR(s_RadSpec!$N$30*V30,".")*$B$35</f>
        <v>1.0803295239352295E-11</v>
      </c>
      <c r="W35" s="38">
        <f>IFERROR(s_RadSpec!$O$30*W30,".")*$B$35</f>
        <v>1.9715380070117864E-11</v>
      </c>
      <c r="X35" s="38">
        <f>IFERROR(s_RadSpec!$K$30*X30,".")*$B$35</f>
        <v>1.1216457246575343E-13</v>
      </c>
      <c r="Y35" s="47">
        <f t="shared" si="16"/>
        <v>2.6787539071232881E-11</v>
      </c>
      <c r="Z35" s="47">
        <f t="shared" si="12"/>
        <v>1.5946074493150692E-12</v>
      </c>
      <c r="AA35" s="47">
        <f t="shared" si="12"/>
        <v>1.0803295239352295E-11</v>
      </c>
      <c r="AB35" s="47">
        <f t="shared" si="12"/>
        <v>1.9715380070117864E-11</v>
      </c>
      <c r="AC35" s="47">
        <f t="shared" si="12"/>
        <v>1.1216457246575343E-13</v>
      </c>
      <c r="AD35" s="30">
        <f t="shared" si="21"/>
        <v>5.1388286682404326E-2</v>
      </c>
      <c r="AE35" s="30">
        <f t="shared" si="21"/>
        <v>33974273.287321642</v>
      </c>
      <c r="AF35" s="30">
        <f t="shared" si="17"/>
        <v>5.1388286604676217E-2</v>
      </c>
      <c r="AG35" s="38">
        <f>IFERROR(s_RadSpec!$G$30*AG30,".")*$B$35</f>
        <v>9.72984375E-4</v>
      </c>
      <c r="AH35" s="38">
        <f>IFERROR(s_RadSpec!$J$30*AH30,".")*$B$35</f>
        <v>1.4717018249999999E-12</v>
      </c>
      <c r="AI35" s="47">
        <f t="shared" si="18"/>
        <v>9.72984375E-4</v>
      </c>
      <c r="AJ35" s="47">
        <f t="shared" si="18"/>
        <v>1.4717018249999999E-12</v>
      </c>
      <c r="AK35" s="47">
        <f t="shared" si="19"/>
        <v>9.7298437647170177E-4</v>
      </c>
    </row>
    <row r="36" spans="1:37" x14ac:dyDescent="0.25">
      <c r="A36" s="29" t="s">
        <v>294</v>
      </c>
      <c r="B36" s="24">
        <v>1</v>
      </c>
      <c r="C36" s="2"/>
      <c r="D36" s="30">
        <f>IFERROR(D26/$B36,0)</f>
        <v>1847.3702684229002</v>
      </c>
      <c r="E36" s="30">
        <f>IFERROR(E26/$B36,0)</f>
        <v>2583.8960401264658</v>
      </c>
      <c r="F36" s="30">
        <f>IFERROR(F26/$B36,0)</f>
        <v>6222.4927573188697</v>
      </c>
      <c r="G36" s="30">
        <f t="shared" si="20"/>
        <v>918.24854109217824</v>
      </c>
      <c r="H36" s="38">
        <f>IFERROR(s_RadSpec!$I$26*H26,".")*$B$37</f>
        <v>2.7065499999999998E-8</v>
      </c>
      <c r="I36" s="38">
        <f>IFERROR(s_RadSpec!$G$26*I26,".")*$B$37</f>
        <v>1.9350623718418953E-8</v>
      </c>
      <c r="J36" s="38">
        <f>IFERROR(s_RadSpec!$F$26*J26,".")*$B$37</f>
        <v>8.0353649172496384E-9</v>
      </c>
      <c r="K36" s="47">
        <f t="shared" si="10"/>
        <v>2.7065499999999998E-8</v>
      </c>
      <c r="L36" s="47">
        <f t="shared" si="10"/>
        <v>1.9350623718418953E-8</v>
      </c>
      <c r="M36" s="47">
        <f t="shared" si="10"/>
        <v>8.0353649172496384E-9</v>
      </c>
      <c r="N36" s="47">
        <f t="shared" si="14"/>
        <v>5.4451488635668593E-8</v>
      </c>
      <c r="O36" s="30">
        <f t="shared" ref="O36:AE36" si="22">IFERROR(O26/$B36,0)</f>
        <v>6222.4927573188697</v>
      </c>
      <c r="P36" s="30">
        <f t="shared" si="22"/>
        <v>37659.890904493994</v>
      </c>
      <c r="Q36" s="30">
        <f t="shared" si="22"/>
        <v>10791.063407108235</v>
      </c>
      <c r="R36" s="30">
        <f t="shared" si="22"/>
        <v>7097.7174226243296</v>
      </c>
      <c r="S36" s="30">
        <f t="shared" si="22"/>
        <v>209794.7011852313</v>
      </c>
      <c r="T36" s="38">
        <f>IFERROR(s_RadSpec!$F$26*T26,".")*$B$37</f>
        <v>8.0353649172496384E-9</v>
      </c>
      <c r="U36" s="38">
        <f>IFERROR(s_RadSpec!$M$26*U26,".")*$B$37</f>
        <v>1.3276724599866926E-9</v>
      </c>
      <c r="V36" s="38">
        <f>IFERROR(s_RadSpec!$N$26*V26,".")*$B$37</f>
        <v>4.6334636461374369E-9</v>
      </c>
      <c r="W36" s="38">
        <f>IFERROR(s_RadSpec!$O$26*W26,".")*$B$37</f>
        <v>7.044518261691077E-9</v>
      </c>
      <c r="X36" s="38">
        <f>IFERROR(s_RadSpec!$K$26*X26,".")*$B$37</f>
        <v>2.3832823096830338E-10</v>
      </c>
      <c r="Y36" s="47">
        <f t="shared" si="16"/>
        <v>8.0353649172496384E-9</v>
      </c>
      <c r="Z36" s="47">
        <f t="shared" si="12"/>
        <v>1.3276724599866926E-9</v>
      </c>
      <c r="AA36" s="47">
        <f t="shared" si="12"/>
        <v>4.6334636461374369E-9</v>
      </c>
      <c r="AB36" s="47">
        <f t="shared" si="12"/>
        <v>7.044518261691077E-9</v>
      </c>
      <c r="AC36" s="47">
        <f t="shared" si="12"/>
        <v>2.3832823096830338E-10</v>
      </c>
      <c r="AD36" s="30">
        <f t="shared" si="22"/>
        <v>8.3288218881439214E-3</v>
      </c>
      <c r="AE36" s="30">
        <f t="shared" si="22"/>
        <v>106153.07957089211</v>
      </c>
      <c r="AF36" s="30">
        <f t="shared" si="17"/>
        <v>8.3288212346605845E-3</v>
      </c>
      <c r="AG36" s="38">
        <f>IFERROR(s_RadSpec!$G$26*AG26,".")*$B$37</f>
        <v>6.0032499999999999E-3</v>
      </c>
      <c r="AH36" s="38">
        <f>IFERROR(s_RadSpec!$J$26*AH26,".")*$B$37</f>
        <v>4.7101789417808225E-10</v>
      </c>
      <c r="AI36" s="47">
        <f t="shared" si="18"/>
        <v>6.0032499999999999E-3</v>
      </c>
      <c r="AJ36" s="47">
        <f t="shared" si="18"/>
        <v>4.7101789417808225E-10</v>
      </c>
      <c r="AK36" s="47">
        <f t="shared" si="19"/>
        <v>6.0032504710178939E-3</v>
      </c>
    </row>
    <row r="37" spans="1:37" x14ac:dyDescent="0.25">
      <c r="A37" s="29" t="s">
        <v>295</v>
      </c>
      <c r="B37" s="24">
        <v>1</v>
      </c>
      <c r="C37" s="2"/>
      <c r="D37" s="30">
        <f>IFERROR(D22/$B37,0)</f>
        <v>4889.5571283631007</v>
      </c>
      <c r="E37" s="30">
        <f>IFERROR(E22/$B37,0)</f>
        <v>17250.33848570993</v>
      </c>
      <c r="F37" s="30">
        <f>IFERROR(F22/$B37,0)</f>
        <v>125149557165.41487</v>
      </c>
      <c r="G37" s="30">
        <f t="shared" si="20"/>
        <v>3809.7068934802578</v>
      </c>
      <c r="H37" s="38">
        <f>IFERROR(s_RadSpec!$I$22*H22,".")*$B$37</f>
        <v>1.0225875E-8</v>
      </c>
      <c r="I37" s="38">
        <f>IFERROR(s_RadSpec!$G$22*I22,".")*$B$37</f>
        <v>2.8984938493479236E-9</v>
      </c>
      <c r="J37" s="38">
        <f>IFERROR(s_RadSpec!$F$22*J22,".")*$B$37</f>
        <v>3.9952198899044541E-16</v>
      </c>
      <c r="K37" s="47">
        <f t="shared" si="10"/>
        <v>1.0225875E-8</v>
      </c>
      <c r="L37" s="47">
        <f t="shared" si="10"/>
        <v>2.8984938493479236E-9</v>
      </c>
      <c r="M37" s="47">
        <f t="shared" si="10"/>
        <v>3.9952198899044541E-16</v>
      </c>
      <c r="N37" s="47">
        <f t="shared" si="14"/>
        <v>1.3124369248869912E-8</v>
      </c>
      <c r="O37" s="30">
        <f t="shared" ref="O37:AE37" si="23">IFERROR(O22/$B37,0)</f>
        <v>125149557165.41487</v>
      </c>
      <c r="P37" s="30">
        <f t="shared" si="23"/>
        <v>157500375364.1293</v>
      </c>
      <c r="Q37" s="30">
        <f t="shared" si="23"/>
        <v>88611033432.008713</v>
      </c>
      <c r="R37" s="30">
        <f t="shared" si="23"/>
        <v>90961395817.846573</v>
      </c>
      <c r="S37" s="30">
        <f t="shared" si="23"/>
        <v>445068164946.88446</v>
      </c>
      <c r="T37" s="38">
        <f>IFERROR(s_RadSpec!$F$22*T22,".")*$B$37</f>
        <v>3.9952198899044541E-16</v>
      </c>
      <c r="U37" s="38">
        <f>IFERROR(s_RadSpec!$M$22*U22,".")*$B$37</f>
        <v>3.1745956087027521E-16</v>
      </c>
      <c r="V37" s="38">
        <f>IFERROR(s_RadSpec!$N$22*V22,".")*$B$37</f>
        <v>5.6426381753424655E-16</v>
      </c>
      <c r="W37" s="38">
        <f>IFERROR(s_RadSpec!$O$22*W22,".")*$B$37</f>
        <v>5.4968373726505682E-16</v>
      </c>
      <c r="X37" s="38">
        <f>IFERROR(s_RadSpec!$K$22*X22,".")*$B$37</f>
        <v>1.1234234200050488E-16</v>
      </c>
      <c r="Y37" s="47">
        <f t="shared" si="16"/>
        <v>3.9952198899044541E-16</v>
      </c>
      <c r="Z37" s="47">
        <f t="shared" si="12"/>
        <v>3.1745956087027521E-16</v>
      </c>
      <c r="AA37" s="47">
        <f t="shared" si="12"/>
        <v>5.6426381753424655E-16</v>
      </c>
      <c r="AB37" s="47">
        <f t="shared" si="12"/>
        <v>5.4968373726505682E-16</v>
      </c>
      <c r="AC37" s="47">
        <f t="shared" si="12"/>
        <v>1.1234234200050488E-16</v>
      </c>
      <c r="AD37" s="30">
        <f t="shared" si="23"/>
        <v>5.5604016000055607E-2</v>
      </c>
      <c r="AE37" s="30">
        <f t="shared" si="23"/>
        <v>1726667.1803619796</v>
      </c>
      <c r="AF37" s="30">
        <f t="shared" si="17"/>
        <v>5.5604014209434623E-2</v>
      </c>
      <c r="AG37" s="38">
        <f>IFERROR(s_RadSpec!$G$22*AG22,".")*$B$37</f>
        <v>8.9921562499999997E-4</v>
      </c>
      <c r="AH37" s="38">
        <f>IFERROR(s_RadSpec!$J$22*AH22,".")*$B$37</f>
        <v>2.8957520342465756E-11</v>
      </c>
      <c r="AI37" s="47">
        <f t="shared" si="18"/>
        <v>8.9921562499999997E-4</v>
      </c>
      <c r="AJ37" s="47">
        <f t="shared" si="18"/>
        <v>2.8957520342465756E-11</v>
      </c>
      <c r="AK37" s="47">
        <f t="shared" si="19"/>
        <v>8.9921565395752027E-4</v>
      </c>
    </row>
    <row r="38" spans="1:37" x14ac:dyDescent="0.25">
      <c r="A38" s="29" t="s">
        <v>296</v>
      </c>
      <c r="B38" s="24">
        <v>1</v>
      </c>
      <c r="C38" s="2"/>
      <c r="D38" s="30">
        <f>IFERROR(D2/$B38,0)</f>
        <v>4027.8728803318968</v>
      </c>
      <c r="E38" s="30">
        <f>IFERROR(E2/$B38,0)</f>
        <v>15797.913613208446</v>
      </c>
      <c r="F38" s="30">
        <f>IFERROR(F2/$B38,0)</f>
        <v>20512.286804300216</v>
      </c>
      <c r="G38" s="30">
        <f t="shared" si="20"/>
        <v>2775.3049321221679</v>
      </c>
      <c r="H38" s="38">
        <f>IFERROR(s_RadSpec!$I$2*H2,".")*$B$38</f>
        <v>1.2413499999999999E-8</v>
      </c>
      <c r="I38" s="38">
        <f>IFERROR(s_RadSpec!$G$2*I2,".")*$B$38</f>
        <v>3.1649748963176765E-9</v>
      </c>
      <c r="J38" s="38">
        <f>IFERROR(s_RadSpec!$F$2*J2,".")*$B$38</f>
        <v>2.4375634212328767E-9</v>
      </c>
      <c r="K38" s="47">
        <f t="shared" si="10"/>
        <v>1.2413499999999999E-8</v>
      </c>
      <c r="L38" s="47">
        <f t="shared" si="10"/>
        <v>3.1649748963176765E-9</v>
      </c>
      <c r="M38" s="47">
        <f t="shared" si="10"/>
        <v>2.4375634212328767E-9</v>
      </c>
      <c r="N38" s="47">
        <f t="shared" si="14"/>
        <v>1.8016038317550554E-8</v>
      </c>
      <c r="O38" s="30">
        <f t="shared" ref="O38:AE38" si="24">IFERROR(O2/$B38,0)</f>
        <v>20512.286804300216</v>
      </c>
      <c r="P38" s="30">
        <f t="shared" si="24"/>
        <v>148063.41488526075</v>
      </c>
      <c r="Q38" s="30">
        <f t="shared" si="24"/>
        <v>38842.447303557659</v>
      </c>
      <c r="R38" s="30">
        <f t="shared" si="24"/>
        <v>24027.280902312828</v>
      </c>
      <c r="S38" s="30">
        <f t="shared" si="24"/>
        <v>1124806.135978875</v>
      </c>
      <c r="T38" s="38">
        <f>IFERROR(s_RadSpec!$F$2*T2,".")*$B$38</f>
        <v>2.4375634212328767E-9</v>
      </c>
      <c r="U38" s="38">
        <f>IFERROR(s_RadSpec!$M$2*U2,".")*$B$38</f>
        <v>3.3769314343281007E-10</v>
      </c>
      <c r="V38" s="38">
        <f>IFERROR(s_RadSpec!$N$2*V2,".")*$B$38</f>
        <v>1.2872515371970502E-9</v>
      </c>
      <c r="W38" s="38">
        <f>IFERROR(s_RadSpec!$O$2*W2,".")*$B$38</f>
        <v>2.0809678882635068E-9</v>
      </c>
      <c r="X38" s="38">
        <f>IFERROR(s_RadSpec!$K$2*X2,".")*$B$38</f>
        <v>4.4452104589994041E-11</v>
      </c>
      <c r="Y38" s="47">
        <f t="shared" si="16"/>
        <v>2.4375634212328767E-9</v>
      </c>
      <c r="Z38" s="47">
        <f t="shared" si="12"/>
        <v>3.3769314343281007E-10</v>
      </c>
      <c r="AA38" s="47">
        <f t="shared" si="12"/>
        <v>1.2872515371970502E-9</v>
      </c>
      <c r="AB38" s="47">
        <f t="shared" si="12"/>
        <v>2.0809678882635068E-9</v>
      </c>
      <c r="AC38" s="47">
        <f t="shared" si="12"/>
        <v>4.4452104589994041E-11</v>
      </c>
      <c r="AD38" s="30">
        <f t="shared" si="24"/>
        <v>5.092233071507684E-2</v>
      </c>
      <c r="AE38" s="30">
        <f t="shared" si="24"/>
        <v>618624.52266937145</v>
      </c>
      <c r="AF38" s="30">
        <f t="shared" si="17"/>
        <v>5.0922326523384694E-2</v>
      </c>
      <c r="AG38" s="38">
        <f>IFERROR(s_RadSpec!$G$2*AG2,".")*$B$38</f>
        <v>9.8188750000000003E-4</v>
      </c>
      <c r="AH38" s="38">
        <f>IFERROR(s_RadSpec!$J$2*AH2,".")*$B$38</f>
        <v>8.082447133561645E-11</v>
      </c>
      <c r="AI38" s="47">
        <f t="shared" si="18"/>
        <v>9.8188750000000003E-4</v>
      </c>
      <c r="AJ38" s="47">
        <f t="shared" si="18"/>
        <v>8.082447133561645E-11</v>
      </c>
      <c r="AK38" s="47">
        <f t="shared" si="19"/>
        <v>9.8188758082447128E-4</v>
      </c>
    </row>
    <row r="39" spans="1:37" x14ac:dyDescent="0.25">
      <c r="A39" s="29" t="s">
        <v>297</v>
      </c>
      <c r="B39" s="24">
        <v>1</v>
      </c>
      <c r="C39" s="2"/>
      <c r="D39" s="30">
        <f>IFERROR(D11/$B39,0)</f>
        <v>0</v>
      </c>
      <c r="E39" s="30">
        <f>IFERROR(E11/$B39,0)</f>
        <v>0</v>
      </c>
      <c r="F39" s="30">
        <f>IFERROR(F11/$B39,0)</f>
        <v>7094.2571502794317</v>
      </c>
      <c r="G39" s="30">
        <f t="shared" si="20"/>
        <v>7094.2571502794317</v>
      </c>
      <c r="H39" s="38">
        <f>IFERROR(s_RadSpec!$I$11*H11,".")*$B$39</f>
        <v>0</v>
      </c>
      <c r="I39" s="38">
        <f>IFERROR(s_RadSpec!$G$11*I11,".")*$B$39</f>
        <v>0</v>
      </c>
      <c r="J39" s="38">
        <f>IFERROR(s_RadSpec!$F$11*J11,".")*$B$39</f>
        <v>7.0479542735535874E-9</v>
      </c>
      <c r="K39" s="47">
        <f t="shared" si="10"/>
        <v>0</v>
      </c>
      <c r="L39" s="47">
        <f t="shared" si="10"/>
        <v>0</v>
      </c>
      <c r="M39" s="47">
        <f t="shared" si="10"/>
        <v>7.0479542735535874E-9</v>
      </c>
      <c r="N39" s="47">
        <f t="shared" si="14"/>
        <v>7.0479542735535874E-9</v>
      </c>
      <c r="O39" s="30">
        <f t="shared" ref="O39:AE39" si="25">IFERROR(O11/$B39,0)</f>
        <v>7094.2571502794317</v>
      </c>
      <c r="P39" s="30">
        <f t="shared" si="25"/>
        <v>36774.492926136889</v>
      </c>
      <c r="Q39" s="30">
        <f t="shared" si="25"/>
        <v>10344.019530920519</v>
      </c>
      <c r="R39" s="30">
        <f t="shared" si="25"/>
        <v>6889.2942310004073</v>
      </c>
      <c r="S39" s="30">
        <f t="shared" si="25"/>
        <v>69474.433698220411</v>
      </c>
      <c r="T39" s="38">
        <f>IFERROR(s_RadSpec!$F$11*T11,".")*$B$39</f>
        <v>7.0479542735535874E-9</v>
      </c>
      <c r="U39" s="38">
        <f>IFERROR(s_RadSpec!$M$11*U11,".")*$B$39</f>
        <v>1.3596380540291096E-9</v>
      </c>
      <c r="V39" s="38">
        <f>IFERROR(s_RadSpec!$N$11*V11,".")*$B$39</f>
        <v>4.8337109042127334E-9</v>
      </c>
      <c r="W39" s="38">
        <f>IFERROR(s_RadSpec!$O$11*W11,".")*$B$39</f>
        <v>7.2576374768565235E-9</v>
      </c>
      <c r="X39" s="38">
        <f>IFERROR(s_RadSpec!$K$11*X11,".")*$B$39</f>
        <v>7.196892056319238E-10</v>
      </c>
      <c r="Y39" s="47">
        <f t="shared" si="16"/>
        <v>7.0479542735535874E-9</v>
      </c>
      <c r="Z39" s="47">
        <f t="shared" si="12"/>
        <v>1.3596380540291096E-9</v>
      </c>
      <c r="AA39" s="47">
        <f t="shared" si="12"/>
        <v>4.8337109042127334E-9</v>
      </c>
      <c r="AB39" s="47">
        <f t="shared" si="12"/>
        <v>7.2576374768565235E-9</v>
      </c>
      <c r="AC39" s="47">
        <f t="shared" si="12"/>
        <v>7.196892056319238E-10</v>
      </c>
      <c r="AD39" s="30">
        <f t="shared" si="25"/>
        <v>0</v>
      </c>
      <c r="AE39" s="30">
        <f t="shared" si="25"/>
        <v>276406.7016182298</v>
      </c>
      <c r="AF39" s="30">
        <f t="shared" si="17"/>
        <v>276406.7016182298</v>
      </c>
      <c r="AG39" s="38">
        <f>IFERROR(s_RadSpec!$G$11*AG11,".")*$B$39</f>
        <v>0</v>
      </c>
      <c r="AH39" s="38">
        <f>IFERROR(s_RadSpec!$J$11*AH11,".")*$B$39</f>
        <v>1.8089286441780824E-10</v>
      </c>
      <c r="AI39" s="47">
        <f t="shared" si="18"/>
        <v>0</v>
      </c>
      <c r="AJ39" s="47">
        <f t="shared" si="18"/>
        <v>1.8089286441780824E-10</v>
      </c>
      <c r="AK39" s="47">
        <f t="shared" si="19"/>
        <v>1.8089286441780824E-10</v>
      </c>
    </row>
    <row r="40" spans="1:37" x14ac:dyDescent="0.25">
      <c r="A40" s="29" t="s">
        <v>298</v>
      </c>
      <c r="B40" s="24">
        <v>1</v>
      </c>
      <c r="C40" s="2"/>
      <c r="D40" s="30">
        <f>IFERROR(D4/$B40,0)</f>
        <v>0</v>
      </c>
      <c r="E40" s="30">
        <f>IFERROR(E4/$B40,0)</f>
        <v>0</v>
      </c>
      <c r="F40" s="30">
        <f>IFERROR(F4/$B40,0)</f>
        <v>440956.38253448543</v>
      </c>
      <c r="G40" s="30">
        <f t="shared" si="20"/>
        <v>440956.38253448543</v>
      </c>
      <c r="H40" s="38">
        <f>IFERROR(s_RadSpec!$I$4*H4,".")*$B$40</f>
        <v>0</v>
      </c>
      <c r="I40" s="38">
        <f>IFERROR(s_RadSpec!$G$4*I4,".")*$B$40</f>
        <v>0</v>
      </c>
      <c r="J40" s="38">
        <f>IFERROR(s_RadSpec!$F$4*J4,".")*$B$40</f>
        <v>1.1338989972798435E-10</v>
      </c>
      <c r="K40" s="47">
        <f t="shared" si="10"/>
        <v>0</v>
      </c>
      <c r="L40" s="47">
        <f t="shared" si="10"/>
        <v>0</v>
      </c>
      <c r="M40" s="47">
        <f t="shared" si="10"/>
        <v>1.1338989972798435E-10</v>
      </c>
      <c r="N40" s="47">
        <f t="shared" si="14"/>
        <v>1.1338989972798435E-10</v>
      </c>
      <c r="O40" s="30">
        <f t="shared" ref="O40:AE40" si="26">IFERROR(O4/$B40,0)</f>
        <v>440956.38253448543</v>
      </c>
      <c r="P40" s="30">
        <f t="shared" si="26"/>
        <v>3109403.5554844174</v>
      </c>
      <c r="Q40" s="30">
        <f t="shared" si="26"/>
        <v>810841.500288871</v>
      </c>
      <c r="R40" s="30">
        <f t="shared" si="26"/>
        <v>480568.21361261251</v>
      </c>
      <c r="S40" s="30">
        <f t="shared" si="26"/>
        <v>5855911.7437149212</v>
      </c>
      <c r="T40" s="38">
        <f>IFERROR(s_RadSpec!$F$4*T4,".")*$B$40</f>
        <v>1.1338989972798435E-10</v>
      </c>
      <c r="U40" s="38">
        <f>IFERROR(s_RadSpec!$M$4*U4,".")*$B$40</f>
        <v>1.6080254334246575E-11</v>
      </c>
      <c r="V40" s="38">
        <f>IFERROR(s_RadSpec!$N$4*V4,".")*$B$40</f>
        <v>6.1664332649706482E-11</v>
      </c>
      <c r="W40" s="38">
        <f>IFERROR(s_RadSpec!$O$4*W4,".")*$B$40</f>
        <v>1.0404350222028032E-10</v>
      </c>
      <c r="X40" s="38">
        <f>IFERROR(s_RadSpec!$K$4*X4,".")*$B$40</f>
        <v>8.5383800487882021E-12</v>
      </c>
      <c r="Y40" s="47">
        <f t="shared" si="16"/>
        <v>1.1338989972798435E-10</v>
      </c>
      <c r="Z40" s="47">
        <f t="shared" si="12"/>
        <v>1.6080254334246575E-11</v>
      </c>
      <c r="AA40" s="47">
        <f t="shared" si="12"/>
        <v>6.1664332649706482E-11</v>
      </c>
      <c r="AB40" s="47">
        <f t="shared" si="12"/>
        <v>1.0404350222028032E-10</v>
      </c>
      <c r="AC40" s="47">
        <f t="shared" si="12"/>
        <v>8.5383800487882021E-12</v>
      </c>
      <c r="AD40" s="30">
        <f t="shared" si="26"/>
        <v>0</v>
      </c>
      <c r="AE40" s="30">
        <f t="shared" si="26"/>
        <v>32633183.552295782</v>
      </c>
      <c r="AF40" s="30">
        <f t="shared" si="17"/>
        <v>32633183.552295785</v>
      </c>
      <c r="AG40" s="38">
        <f>IFERROR(s_RadSpec!$G$4*AG4,".")*$B$40</f>
        <v>0</v>
      </c>
      <c r="AH40" s="38">
        <f>IFERROR(s_RadSpec!$J$4*AH4,".")*$B$40</f>
        <v>1.5321827219178085E-12</v>
      </c>
      <c r="AI40" s="47">
        <f t="shared" si="18"/>
        <v>0</v>
      </c>
      <c r="AJ40" s="47">
        <f t="shared" si="18"/>
        <v>1.5321827219178085E-12</v>
      </c>
      <c r="AK40" s="47">
        <f t="shared" si="19"/>
        <v>1.5321827219178085E-12</v>
      </c>
    </row>
    <row r="41" spans="1:37" x14ac:dyDescent="0.25">
      <c r="A41" s="29" t="s">
        <v>299</v>
      </c>
      <c r="B41" s="31">
        <v>0.99987999999999999</v>
      </c>
      <c r="C41" s="111"/>
      <c r="D41" s="30">
        <f>IFERROR(D8/$B41,0)</f>
        <v>1146929.9102368164</v>
      </c>
      <c r="E41" s="30">
        <f>IFERROR(E8/$B41,0)</f>
        <v>6098726.5018786872</v>
      </c>
      <c r="F41" s="30">
        <f>IFERROR(F8/$B41,0)</f>
        <v>486.27010521460915</v>
      </c>
      <c r="G41" s="30">
        <f t="shared" si="20"/>
        <v>486.0252901498539</v>
      </c>
      <c r="H41" s="38">
        <f>IFERROR(s_RadSpec!$I$8*H8,".")*$B$41</f>
        <v>4.3594643015000003E-11</v>
      </c>
      <c r="I41" s="38">
        <f>IFERROR(s_RadSpec!$G$8*I8,".")*$B$41</f>
        <v>8.1984328998189588E-12</v>
      </c>
      <c r="J41" s="38">
        <f>IFERROR(s_RadSpec!$F$8*J8,".")*$B$41</f>
        <v>1.0282351200251791E-7</v>
      </c>
      <c r="K41" s="47">
        <f t="shared" si="10"/>
        <v>4.3594643015000003E-11</v>
      </c>
      <c r="L41" s="47">
        <f t="shared" si="10"/>
        <v>8.1984328998189588E-12</v>
      </c>
      <c r="M41" s="47">
        <f t="shared" si="10"/>
        <v>1.0282351200251791E-7</v>
      </c>
      <c r="N41" s="47">
        <f t="shared" si="14"/>
        <v>1.0287530507843273E-7</v>
      </c>
      <c r="O41" s="30">
        <f t="shared" ref="O41:AE41" si="27">IFERROR(O8/$B41,0)</f>
        <v>486.27010521460915</v>
      </c>
      <c r="P41" s="30">
        <f t="shared" si="27"/>
        <v>4117.8607051687459</v>
      </c>
      <c r="Q41" s="30">
        <f t="shared" si="27"/>
        <v>1075.8879036552707</v>
      </c>
      <c r="R41" s="30">
        <f t="shared" si="27"/>
        <v>652.0556257430386</v>
      </c>
      <c r="S41" s="30">
        <f t="shared" si="27"/>
        <v>7466.9567690809408</v>
      </c>
      <c r="T41" s="38">
        <f>IFERROR(s_RadSpec!$F$8*T8,".")*$B$41</f>
        <v>1.0282351200251791E-7</v>
      </c>
      <c r="U41" s="38">
        <f>IFERROR(s_RadSpec!$M$8*U8,".")*$B$41</f>
        <v>1.214222713683343E-8</v>
      </c>
      <c r="V41" s="38">
        <f>IFERROR(s_RadSpec!$N$8*V8,".")*$B$41</f>
        <v>4.6473243011774496E-8</v>
      </c>
      <c r="W41" s="38">
        <f>IFERROR(s_RadSpec!$O$8*W8,".")*$B$41</f>
        <v>7.6680574518505806E-8</v>
      </c>
      <c r="X41" s="38">
        <f>IFERROR(s_RadSpec!$K$8*X8,".")*$B$41</f>
        <v>6.6961684051847267E-9</v>
      </c>
      <c r="Y41" s="47">
        <f t="shared" si="16"/>
        <v>1.0282351200251791E-7</v>
      </c>
      <c r="Z41" s="47">
        <f t="shared" si="12"/>
        <v>1.214222713683343E-8</v>
      </c>
      <c r="AA41" s="47">
        <f t="shared" si="12"/>
        <v>4.6473243011774496E-8</v>
      </c>
      <c r="AB41" s="47">
        <f t="shared" si="12"/>
        <v>7.6680574518505806E-8</v>
      </c>
      <c r="AC41" s="47">
        <f t="shared" si="12"/>
        <v>6.6961684051847267E-9</v>
      </c>
      <c r="AD41" s="30">
        <f t="shared" si="27"/>
        <v>19.658378661459036</v>
      </c>
      <c r="AE41" s="30">
        <f t="shared" si="27"/>
        <v>59834.683341209886</v>
      </c>
      <c r="AF41" s="30">
        <f t="shared" si="17"/>
        <v>19.651922123127932</v>
      </c>
      <c r="AG41" s="38">
        <f>IFERROR(s_RadSpec!$G$8*AG8,".")*$B$41</f>
        <v>2.54344475E-6</v>
      </c>
      <c r="AH41" s="38">
        <f>IFERROR(s_RadSpec!$J$8*AH8,".")*$B$41</f>
        <v>8.3563574181336991E-10</v>
      </c>
      <c r="AI41" s="47">
        <f t="shared" si="18"/>
        <v>2.54344475E-6</v>
      </c>
      <c r="AJ41" s="47">
        <f t="shared" si="18"/>
        <v>8.3563574181336991E-10</v>
      </c>
      <c r="AK41" s="47">
        <f t="shared" si="19"/>
        <v>2.5442803857418135E-6</v>
      </c>
    </row>
    <row r="42" spans="1:37" x14ac:dyDescent="0.25">
      <c r="A42" s="29" t="s">
        <v>300</v>
      </c>
      <c r="B42" s="24">
        <v>0.97898250799999997</v>
      </c>
      <c r="C42" s="2"/>
      <c r="D42" s="30">
        <f>IFERROR(D19/$B42,0)</f>
        <v>0</v>
      </c>
      <c r="E42" s="30">
        <f>IFERROR(E19/$B42,0)</f>
        <v>0</v>
      </c>
      <c r="F42" s="30">
        <f>IFERROR(F19/$B42,0)</f>
        <v>1080215.314528767</v>
      </c>
      <c r="G42" s="30">
        <f t="shared" si="20"/>
        <v>1080215.314528767</v>
      </c>
      <c r="H42" s="48">
        <f>IFERROR(s_RadSpec!$I$19*H19,".")*$B$42</f>
        <v>0</v>
      </c>
      <c r="I42" s="48">
        <f>IFERROR(s_RadSpec!$G$19*I19,".")*$B$42</f>
        <v>0</v>
      </c>
      <c r="J42" s="48">
        <f>IFERROR(s_RadSpec!$F$19*J19,".")*$B$42</f>
        <v>4.6287068260842065E-11</v>
      </c>
      <c r="K42" s="47">
        <f t="shared" si="10"/>
        <v>0</v>
      </c>
      <c r="L42" s="47">
        <f t="shared" si="10"/>
        <v>0</v>
      </c>
      <c r="M42" s="47">
        <f t="shared" si="10"/>
        <v>4.6287068260842065E-11</v>
      </c>
      <c r="N42" s="47">
        <f t="shared" si="14"/>
        <v>4.6287068260842065E-11</v>
      </c>
      <c r="O42" s="30">
        <f t="shared" ref="O42:AE42" si="28">IFERROR(O19/$B42,0)</f>
        <v>1080215.314528767</v>
      </c>
      <c r="P42" s="30">
        <f t="shared" si="28"/>
        <v>10712514.649432251</v>
      </c>
      <c r="Q42" s="30">
        <f t="shared" si="28"/>
        <v>2636838.2922753734</v>
      </c>
      <c r="R42" s="30">
        <f t="shared" si="28"/>
        <v>1412180.912330807</v>
      </c>
      <c r="S42" s="30">
        <f t="shared" si="28"/>
        <v>18959668.49867839</v>
      </c>
      <c r="T42" s="48">
        <f>IFERROR(s_RadSpec!$F$19*T19,".")*$B$42</f>
        <v>4.6287068260842065E-11</v>
      </c>
      <c r="U42" s="48">
        <f>IFERROR(s_RadSpec!$M$19*U19,".")*$B$42</f>
        <v>4.6674381913353957E-12</v>
      </c>
      <c r="V42" s="48">
        <f>IFERROR(s_RadSpec!$N$19*V19,".")*$B$42</f>
        <v>1.8962103268325245E-11</v>
      </c>
      <c r="W42" s="48">
        <f>IFERROR(s_RadSpec!$O$19*W19,".")*$B$42</f>
        <v>3.5406228453743182E-11</v>
      </c>
      <c r="X42" s="48">
        <f>IFERROR(s_RadSpec!$K$19*X19,".")*$B$42</f>
        <v>2.6371769107400441E-12</v>
      </c>
      <c r="Y42" s="47">
        <f t="shared" si="16"/>
        <v>4.6287068260842065E-11</v>
      </c>
      <c r="Z42" s="47">
        <f t="shared" si="12"/>
        <v>4.6674381913353957E-12</v>
      </c>
      <c r="AA42" s="47">
        <f t="shared" si="12"/>
        <v>1.8962103268325245E-11</v>
      </c>
      <c r="AB42" s="47">
        <f t="shared" si="12"/>
        <v>3.5406228453743182E-11</v>
      </c>
      <c r="AC42" s="47">
        <f t="shared" si="12"/>
        <v>2.6371769107400441E-12</v>
      </c>
      <c r="AD42" s="30">
        <f t="shared" si="28"/>
        <v>0</v>
      </c>
      <c r="AE42" s="30">
        <f t="shared" si="28"/>
        <v>201935048.33329412</v>
      </c>
      <c r="AF42" s="30">
        <f t="shared" si="17"/>
        <v>201935048.33329412</v>
      </c>
      <c r="AG42" s="48">
        <f>IFERROR(s_RadSpec!$G$19*AG19,".")*$B$42</f>
        <v>0</v>
      </c>
      <c r="AH42" s="48">
        <f>IFERROR(s_RadSpec!$J$19*AH19,".")*$B$42</f>
        <v>2.4760436790286605E-13</v>
      </c>
      <c r="AI42" s="47">
        <f t="shared" si="18"/>
        <v>0</v>
      </c>
      <c r="AJ42" s="47">
        <f t="shared" si="18"/>
        <v>2.4760436790286605E-13</v>
      </c>
      <c r="AK42" s="47">
        <f t="shared" si="19"/>
        <v>2.4760436790286605E-13</v>
      </c>
    </row>
    <row r="43" spans="1:37" x14ac:dyDescent="0.25">
      <c r="A43" s="29" t="s">
        <v>301</v>
      </c>
      <c r="B43" s="24">
        <v>2.0897492E-2</v>
      </c>
      <c r="C43" s="2"/>
      <c r="D43" s="30">
        <f>IFERROR(D28/$B43,0)</f>
        <v>0</v>
      </c>
      <c r="E43" s="30">
        <f>IFERROR(E28/$B43,0)</f>
        <v>0</v>
      </c>
      <c r="F43" s="30">
        <f>IFERROR(F28/$B43,0)</f>
        <v>602.96907373755619</v>
      </c>
      <c r="G43" s="30">
        <f t="shared" si="20"/>
        <v>602.96907373755619</v>
      </c>
      <c r="H43" s="48">
        <f>IFERROR(s_RadSpec!$I$28*H28,".")*$B$43</f>
        <v>0</v>
      </c>
      <c r="I43" s="48">
        <f>IFERROR(s_RadSpec!$G$28*I28,".")*$B$43</f>
        <v>0</v>
      </c>
      <c r="J43" s="48">
        <f>IFERROR(s_RadSpec!$F$28*J28,".")*$B$43</f>
        <v>8.2922992534377699E-8</v>
      </c>
      <c r="K43" s="47">
        <f t="shared" si="10"/>
        <v>0</v>
      </c>
      <c r="L43" s="47">
        <f t="shared" si="10"/>
        <v>0</v>
      </c>
      <c r="M43" s="47">
        <f t="shared" si="10"/>
        <v>8.2922992534377699E-8</v>
      </c>
      <c r="N43" s="47">
        <f t="shared" si="14"/>
        <v>8.2922992534377699E-8</v>
      </c>
      <c r="O43" s="30">
        <f t="shared" ref="O43:AE43" si="29">IFERROR(O28/$B43,0)</f>
        <v>602.96907373755619</v>
      </c>
      <c r="P43" s="30">
        <f t="shared" si="29"/>
        <v>7282.9076125832999</v>
      </c>
      <c r="Q43" s="30">
        <f t="shared" si="29"/>
        <v>1760.2626392206846</v>
      </c>
      <c r="R43" s="30">
        <f t="shared" si="29"/>
        <v>957.73474101106251</v>
      </c>
      <c r="S43" s="30">
        <f t="shared" si="29"/>
        <v>13141.290141825075</v>
      </c>
      <c r="T43" s="48">
        <f>IFERROR(s_RadSpec!$F$28*T28,".")*$B$43</f>
        <v>8.2922992534377699E-8</v>
      </c>
      <c r="U43" s="48">
        <f>IFERROR(s_RadSpec!$M$28*U28,".")*$B$43</f>
        <v>6.8653898497367679E-9</v>
      </c>
      <c r="V43" s="48">
        <f>IFERROR(s_RadSpec!$N$28*V28,".")*$B$43</f>
        <v>2.8404852143050849E-8</v>
      </c>
      <c r="W43" s="48">
        <f>IFERROR(s_RadSpec!$O$28*W28,".")*$B$43</f>
        <v>5.2206522180886902E-8</v>
      </c>
      <c r="X43" s="48">
        <f>IFERROR(s_RadSpec!$K$28*X28,".")*$B$43</f>
        <v>3.8048014662475109E-9</v>
      </c>
      <c r="Y43" s="47">
        <f t="shared" si="16"/>
        <v>8.2922992534377699E-8</v>
      </c>
      <c r="Z43" s="47">
        <f t="shared" si="12"/>
        <v>6.8653898497367679E-9</v>
      </c>
      <c r="AA43" s="47">
        <f t="shared" si="12"/>
        <v>2.8404852143050849E-8</v>
      </c>
      <c r="AB43" s="47">
        <f t="shared" si="12"/>
        <v>5.2206522180886902E-8</v>
      </c>
      <c r="AC43" s="47">
        <f t="shared" si="12"/>
        <v>3.8048014662475109E-9</v>
      </c>
      <c r="AD43" s="30">
        <f t="shared" si="29"/>
        <v>0</v>
      </c>
      <c r="AE43" s="30">
        <f t="shared" si="29"/>
        <v>159205.36587461611</v>
      </c>
      <c r="AF43" s="30">
        <f t="shared" si="17"/>
        <v>159205.36587461611</v>
      </c>
      <c r="AG43" s="48">
        <f>IFERROR(s_RadSpec!$G$28*AG28,".")*$B$43</f>
        <v>0</v>
      </c>
      <c r="AH43" s="48">
        <f>IFERROR(s_RadSpec!$J$28*AH28,".")*$B$43</f>
        <v>3.1405976629819151E-10</v>
      </c>
      <c r="AI43" s="47">
        <f t="shared" si="18"/>
        <v>0</v>
      </c>
      <c r="AJ43" s="47">
        <f t="shared" si="18"/>
        <v>3.1405976629819151E-10</v>
      </c>
      <c r="AK43" s="47">
        <f t="shared" si="19"/>
        <v>3.1405976629819151E-10</v>
      </c>
    </row>
    <row r="44" spans="1:37" x14ac:dyDescent="0.25">
      <c r="A44" s="29" t="s">
        <v>302</v>
      </c>
      <c r="B44" s="24">
        <v>0.99987999999999999</v>
      </c>
      <c r="C44" s="2"/>
      <c r="D44" s="30">
        <f>IFERROR(D15/$B44,0)</f>
        <v>2978542.2214331864</v>
      </c>
      <c r="E44" s="30">
        <f>IFERROR(E15/$B44,0)</f>
        <v>2170365303.1596746</v>
      </c>
      <c r="F44" s="30">
        <f>IFERROR(F15/$B44,0)</f>
        <v>0</v>
      </c>
      <c r="G44" s="30">
        <f t="shared" si="20"/>
        <v>2974460.1642917381</v>
      </c>
      <c r="H44" s="38">
        <f>IFERROR(s_RadSpec!$I$15*H15,".")*$B$44</f>
        <v>1.6786735349999999E-11</v>
      </c>
      <c r="I44" s="38">
        <f>IFERROR(s_RadSpec!$G$15*I15,".")*$B$44</f>
        <v>2.3037596448491273E-14</v>
      </c>
      <c r="J44" s="38">
        <f>IFERROR(s_RadSpec!$F$15*J15,".")*$B$44</f>
        <v>0</v>
      </c>
      <c r="K44" s="47">
        <f t="shared" si="10"/>
        <v>1.6786735349999999E-11</v>
      </c>
      <c r="L44" s="47">
        <f t="shared" si="10"/>
        <v>2.3037596448491273E-14</v>
      </c>
      <c r="M44" s="47">
        <f t="shared" si="10"/>
        <v>0</v>
      </c>
      <c r="N44" s="47">
        <f t="shared" si="14"/>
        <v>1.6809772946448491E-11</v>
      </c>
      <c r="O44" s="30">
        <f t="shared" ref="O44:AE44" si="30">IFERROR(O15/$B44,0)</f>
        <v>0</v>
      </c>
      <c r="P44" s="30">
        <f t="shared" si="30"/>
        <v>0</v>
      </c>
      <c r="Q44" s="30">
        <f t="shared" si="30"/>
        <v>0</v>
      </c>
      <c r="R44" s="30">
        <f t="shared" si="30"/>
        <v>0</v>
      </c>
      <c r="S44" s="30">
        <f t="shared" si="30"/>
        <v>0</v>
      </c>
      <c r="T44" s="38">
        <f>IFERROR(s_RadSpec!$F$15*T15,".")*$B$44</f>
        <v>0</v>
      </c>
      <c r="U44" s="38">
        <f>IFERROR(s_RadSpec!$M$15*U15,".")*$B$44</f>
        <v>0</v>
      </c>
      <c r="V44" s="38">
        <f>IFERROR(s_RadSpec!$N$15*V15,".")*$B$44</f>
        <v>0</v>
      </c>
      <c r="W44" s="38">
        <f>IFERROR(s_RadSpec!$O$15*W15,".")*$B$44</f>
        <v>0</v>
      </c>
      <c r="X44" s="38">
        <f>IFERROR(s_RadSpec!$K$15*X15,".")*$B$44</f>
        <v>0</v>
      </c>
      <c r="Y44" s="47">
        <f t="shared" si="16"/>
        <v>0</v>
      </c>
      <c r="Z44" s="47">
        <f t="shared" si="12"/>
        <v>0</v>
      </c>
      <c r="AA44" s="47">
        <f t="shared" si="12"/>
        <v>0</v>
      </c>
      <c r="AB44" s="47">
        <f t="shared" si="12"/>
        <v>0</v>
      </c>
      <c r="AC44" s="47">
        <f t="shared" si="12"/>
        <v>0</v>
      </c>
      <c r="AD44" s="30">
        <f t="shared" si="30"/>
        <v>6995.8642923341777</v>
      </c>
      <c r="AE44" s="30">
        <f t="shared" si="30"/>
        <v>18688092.8791724</v>
      </c>
      <c r="AF44" s="30">
        <f t="shared" si="17"/>
        <v>6993.2463792625504</v>
      </c>
      <c r="AG44" s="38">
        <f>IFERROR(s_RadSpec!$G$15*AG15,".")*$B$44</f>
        <v>7.1470797474999996E-9</v>
      </c>
      <c r="AH44" s="38">
        <f>IFERROR(s_RadSpec!$J$15*AH15,".")*$B$44</f>
        <v>2.6755004014200004E-12</v>
      </c>
      <c r="AI44" s="47">
        <f t="shared" si="18"/>
        <v>7.1470797474999996E-9</v>
      </c>
      <c r="AJ44" s="47">
        <f t="shared" si="18"/>
        <v>2.6755004014200004E-12</v>
      </c>
      <c r="AK44" s="47">
        <f t="shared" si="19"/>
        <v>7.1497552479014197E-9</v>
      </c>
    </row>
    <row r="45" spans="1:37" x14ac:dyDescent="0.25">
      <c r="A45" s="26" t="s">
        <v>20</v>
      </c>
      <c r="B45" s="26" t="s">
        <v>289</v>
      </c>
      <c r="C45" s="110"/>
      <c r="D45" s="27">
        <f>IFERROR(IF(AND(D46&lt;&gt;0,D47&lt;&gt;0),1/SUM(1/D46,1/D47),IF(AND(D46&lt;&gt;0,D47=0),1/(1/D46),IF(AND(D46=0,D47&lt;&gt;0),1/(1/D47),IF(AND(D46=0,D47=0),".")))),".")</f>
        <v>11441.222151350206</v>
      </c>
      <c r="E45" s="27">
        <f t="shared" ref="E45:G45" si="31">IFERROR(IF(AND(E46&lt;&gt;0,E47&lt;&gt;0),1/SUM(1/E46,1/E47),IF(AND(E46&lt;&gt;0,E47=0),1/(1/E46),IF(AND(E46=0,E47&lt;&gt;0),1/(1/E47),IF(AND(E46=0,E47=0),".")))),".")</f>
        <v>4011838.5886174073</v>
      </c>
      <c r="F45" s="27">
        <f t="shared" si="31"/>
        <v>83.701377374066155</v>
      </c>
      <c r="G45" s="28">
        <f t="shared" si="31"/>
        <v>83.091763351143101</v>
      </c>
      <c r="H45" s="45"/>
      <c r="I45" s="45"/>
      <c r="J45" s="45"/>
      <c r="K45" s="46">
        <f>IFERROR(IF(SUM(H46:H47)&gt;0.01,1-EXP(-SUM(H46:H47)),SUM(H46:H47)),".")</f>
        <v>4.3701625000000001E-9</v>
      </c>
      <c r="L45" s="46">
        <f>IFERROR(IF(SUM(I46:I47)&gt;0.01,1-EXP(-SUM(I46:I47)),SUM(I46:I47)),".")</f>
        <v>1.2463113581354581E-11</v>
      </c>
      <c r="M45" s="46">
        <f>IFERROR(IF(SUM(J46:J47)&gt;0.01,1-EXP(-SUM(J46:J47)),SUM(J46:J47)),".")</f>
        <v>5.9736173487978844E-7</v>
      </c>
      <c r="N45" s="46">
        <f>IFERROR(IF(SUM(H46:J47)&gt;0.01,1-EXP(-SUM(H46:J47)),SUM(H46:J47)),".")</f>
        <v>6.0174436049336977E-7</v>
      </c>
      <c r="O45" s="27">
        <f t="shared" ref="O45:AF45" si="32">IFERROR(IF(AND(O46&lt;&gt;0,O47&lt;&gt;0),1/SUM(1/O46,1/O47),IF(AND(O46&lt;&gt;0,O47=0),1/(1/O46),IF(AND(O46=0,O47&lt;&gt;0),1/(1/O47),IF(AND(O46=0,O47=0),".")))),".")</f>
        <v>83.701377374066155</v>
      </c>
      <c r="P45" s="27">
        <f t="shared" si="32"/>
        <v>766.46785899179577</v>
      </c>
      <c r="Q45" s="27">
        <f t="shared" si="32"/>
        <v>192.08749778479924</v>
      </c>
      <c r="R45" s="27">
        <f t="shared" si="32"/>
        <v>102.44603505825367</v>
      </c>
      <c r="S45" s="27">
        <f t="shared" si="32"/>
        <v>1313.9989602473488</v>
      </c>
      <c r="T45" s="45"/>
      <c r="U45" s="45"/>
      <c r="V45" s="45"/>
      <c r="W45" s="45"/>
      <c r="X45" s="45"/>
      <c r="Y45" s="46">
        <f>IFERROR(IF(SUM(T46:T47)&gt;0.01,1-EXP(-SUM(T46:T47)),SUM(T46:T47)),".")</f>
        <v>5.9736173487978844E-7</v>
      </c>
      <c r="Z45" s="46">
        <f t="shared" ref="Z45:AC45" si="33">IFERROR(IF(SUM(U46:U47)&gt;0.01,1-EXP(-SUM(U46:U47)),SUM(U46:U47)),".")</f>
        <v>6.5234307496950381E-8</v>
      </c>
      <c r="AA45" s="46">
        <f t="shared" si="33"/>
        <v>2.6029804425906134E-7</v>
      </c>
      <c r="AB45" s="46">
        <f t="shared" si="33"/>
        <v>4.8806183637627954E-7</v>
      </c>
      <c r="AC45" s="46">
        <f t="shared" si="33"/>
        <v>3.8051780490441141E-8</v>
      </c>
      <c r="AD45" s="27">
        <f t="shared" si="32"/>
        <v>12.931591878960301</v>
      </c>
      <c r="AE45" s="27">
        <f t="shared" si="32"/>
        <v>13370.52986535405</v>
      </c>
      <c r="AF45" s="28">
        <f t="shared" si="32"/>
        <v>12.919096900059783</v>
      </c>
      <c r="AG45" s="45"/>
      <c r="AH45" s="45"/>
      <c r="AI45" s="46">
        <f>IFERROR(IF(SUM(AG46:AG47)&gt;0.01,1-EXP(-SUM(AG46:AG47)),SUM(AG46:AG47)),".")</f>
        <v>3.8665000000000002E-6</v>
      </c>
      <c r="AJ45" s="46">
        <f>IFERROR(IF(SUM(AH46:AH47)&gt;0.01,1-EXP(-SUM(AH46:AH47)),SUM(AH46:AH47)),".")</f>
        <v>3.7395675791100005E-9</v>
      </c>
      <c r="AK45" s="46">
        <f>IFERROR(IF(SUM(AG46:AH47)&gt;0.01,1-EXP(-SUM(AG46:AH47)),SUM(AG46:AH47)),".")</f>
        <v>3.8702395675791104E-6</v>
      </c>
    </row>
    <row r="46" spans="1:37" x14ac:dyDescent="0.25">
      <c r="A46" s="29" t="s">
        <v>303</v>
      </c>
      <c r="B46" s="24">
        <v>1</v>
      </c>
      <c r="C46" s="2"/>
      <c r="D46" s="30">
        <f>IFERROR(D10/$B46,0)</f>
        <v>11441.222151350206</v>
      </c>
      <c r="E46" s="30">
        <f>IFERROR(E10/$B46,0)</f>
        <v>4011838.5886174073</v>
      </c>
      <c r="F46" s="30">
        <f>IFERROR(F10/$B46,0)</f>
        <v>450431.89346158871</v>
      </c>
      <c r="G46" s="30">
        <f t="shared" si="20"/>
        <v>11126.861340145377</v>
      </c>
      <c r="H46" s="38">
        <f>IFERROR(s_RadSpec!$I$10*H10,".")*$B$46</f>
        <v>4.3701625000000001E-9</v>
      </c>
      <c r="I46" s="38">
        <f>IFERROR(s_RadSpec!$G$10*I10,".")*$B$46</f>
        <v>1.2463113581354581E-11</v>
      </c>
      <c r="J46" s="38">
        <f>IFERROR(s_RadSpec!$F$10*J10,".")*$B$46</f>
        <v>1.1100457300158705E-10</v>
      </c>
      <c r="K46" s="47">
        <f t="shared" ref="K46:M47" si="34">IFERROR(IF(H46&gt;0.01,1-EXP(-H46),H46),".")</f>
        <v>4.3701625000000001E-9</v>
      </c>
      <c r="L46" s="47">
        <f t="shared" si="34"/>
        <v>1.2463113581354581E-11</v>
      </c>
      <c r="M46" s="47">
        <f t="shared" si="34"/>
        <v>1.1100457300158705E-10</v>
      </c>
      <c r="N46" s="47">
        <f t="shared" ref="N46:N47" si="35">IFERROR(IF(SUM(H46:J46)&gt;0.01,1-EXP(-SUM(H46:J46)),SUM(H46:J46)),".")</f>
        <v>4.4936301865829418E-9</v>
      </c>
      <c r="O46" s="30">
        <f t="shared" ref="O46:AE46" si="36">IFERROR(O10/$B46,0)</f>
        <v>450431.89346158871</v>
      </c>
      <c r="P46" s="30">
        <f t="shared" si="36"/>
        <v>2014533.7408933809</v>
      </c>
      <c r="Q46" s="30">
        <f t="shared" si="36"/>
        <v>652775.28591987269</v>
      </c>
      <c r="R46" s="30">
        <f t="shared" si="36"/>
        <v>467337.64038253075</v>
      </c>
      <c r="S46" s="30">
        <f t="shared" si="36"/>
        <v>1177450.6336254212</v>
      </c>
      <c r="T46" s="38">
        <f>IFERROR(s_RadSpec!$F$10*T10,".")*$B46</f>
        <v>1.1100457300158705E-10</v>
      </c>
      <c r="U46" s="38">
        <f>IFERROR(s_RadSpec!$M$10*U10,".")*$B46</f>
        <v>2.4819638899583097E-11</v>
      </c>
      <c r="V46" s="38">
        <f>IFERROR(s_RadSpec!$N$10*V10,".")*$B46</f>
        <v>7.6596037071993942E-11</v>
      </c>
      <c r="W46" s="38">
        <f>IFERROR(s_RadSpec!$O$10*W10,".")*$B46</f>
        <v>1.0698902823036771E-10</v>
      </c>
      <c r="X46" s="38">
        <f>IFERROR(s_RadSpec!$K$10*X10,".")*$B46</f>
        <v>4.246462532874764E-11</v>
      </c>
      <c r="Y46" s="47">
        <f t="shared" ref="Y46:AC47" si="37">IFERROR(IF(T46&gt;0.01,1-EXP(-T46),T46),".")</f>
        <v>1.1100457300158705E-10</v>
      </c>
      <c r="Z46" s="47">
        <f t="shared" si="37"/>
        <v>2.4819638899583097E-11</v>
      </c>
      <c r="AA46" s="47">
        <f t="shared" si="37"/>
        <v>7.6596037071993942E-11</v>
      </c>
      <c r="AB46" s="47">
        <f t="shared" si="37"/>
        <v>1.0698902823036771E-10</v>
      </c>
      <c r="AC46" s="47">
        <f t="shared" si="37"/>
        <v>4.246462532874764E-11</v>
      </c>
      <c r="AD46" s="30">
        <f t="shared" si="36"/>
        <v>12.931591878960301</v>
      </c>
      <c r="AE46" s="30">
        <f t="shared" si="36"/>
        <v>19626864.352316026</v>
      </c>
      <c r="AF46" s="30">
        <f t="shared" ref="AF46:AF47" si="38">IFERROR(IF(AND(AD46&lt;&gt;0,AE46&lt;&gt;0),1/((1/AD46)+(1/AE46)),IF(AND(AD46&lt;&gt;0,AE46=0),1/((1/AD46)),IF(AND(AD46=0,AE46&lt;&gt;0),1/((1/AE46)),IF(AND(AD46=0,AE46=0),0)))),0)</f>
        <v>12.931583358701774</v>
      </c>
      <c r="AG46" s="38">
        <f>IFERROR(s_RadSpec!$G$10*AG10,".")*$B$46</f>
        <v>3.8665000000000002E-6</v>
      </c>
      <c r="AH46" s="38">
        <f>IFERROR(s_RadSpec!$J$10*AH10,".")*$B$46</f>
        <v>2.5475286883561649E-12</v>
      </c>
      <c r="AI46" s="47">
        <f>IFERROR(IF(AG46&gt;0.01,1-EXP(-AG46),AG46),".")</f>
        <v>3.8665000000000002E-6</v>
      </c>
      <c r="AJ46" s="47">
        <f>IFERROR(IF(AH46&gt;0.01,1-EXP(-AH46),AH46),".")</f>
        <v>2.5475286883561649E-12</v>
      </c>
      <c r="AK46" s="47">
        <f>IFERROR(IF(SUM(AG46:AH46)&gt;0.01,1-EXP(-SUM(AG46:AH46)),SUM(AG46:AH46)),".")</f>
        <v>3.8665025475286885E-6</v>
      </c>
    </row>
    <row r="47" spans="1:37" x14ac:dyDescent="0.25">
      <c r="A47" s="29" t="s">
        <v>304</v>
      </c>
      <c r="B47" s="32">
        <v>0.94399</v>
      </c>
      <c r="C47" s="2"/>
      <c r="D47" s="30">
        <f>IFERROR(D6/$B$47,0)</f>
        <v>0</v>
      </c>
      <c r="E47" s="30">
        <f>IFERROR(E6/$B$47,0)</f>
        <v>0</v>
      </c>
      <c r="F47" s="30">
        <f>IFERROR(F6/$B$47,0)</f>
        <v>83.716934049317572</v>
      </c>
      <c r="G47" s="30">
        <f t="shared" si="20"/>
        <v>83.716934049317572</v>
      </c>
      <c r="H47" s="38">
        <f>IFERROR(s_RadSpec!$I$6*H6,".")*$B$47</f>
        <v>0</v>
      </c>
      <c r="I47" s="38">
        <f>IFERROR(s_RadSpec!$G$6*I6,".")*$B$47</f>
        <v>0</v>
      </c>
      <c r="J47" s="38">
        <f>IFERROR(s_RadSpec!$F$6*J6,".")*$B$47</f>
        <v>5.9725073030678684E-7</v>
      </c>
      <c r="K47" s="47">
        <f t="shared" si="34"/>
        <v>0</v>
      </c>
      <c r="L47" s="47">
        <f t="shared" si="34"/>
        <v>0</v>
      </c>
      <c r="M47" s="47">
        <f t="shared" si="34"/>
        <v>5.9725073030678684E-7</v>
      </c>
      <c r="N47" s="47">
        <f t="shared" si="35"/>
        <v>5.9725073030678684E-7</v>
      </c>
      <c r="O47" s="30">
        <f t="shared" ref="O47:AE47" si="39">IFERROR(O6/$B$47,0)</f>
        <v>83.716934049317572</v>
      </c>
      <c r="P47" s="30">
        <f t="shared" si="39"/>
        <v>766.75958732939159</v>
      </c>
      <c r="Q47" s="30">
        <f t="shared" si="39"/>
        <v>192.14403863184285</v>
      </c>
      <c r="R47" s="30">
        <f t="shared" si="39"/>
        <v>102.46849738606228</v>
      </c>
      <c r="S47" s="30">
        <f t="shared" si="39"/>
        <v>1315.4669812379734</v>
      </c>
      <c r="T47" s="38">
        <f>IFERROR(s_RadSpec!$F$6*T6,".")*$B47</f>
        <v>5.9725073030678684E-7</v>
      </c>
      <c r="U47" s="38">
        <f>IFERROR(s_RadSpec!$M$6*U6,".")*$B47</f>
        <v>6.5209487858050799E-8</v>
      </c>
      <c r="V47" s="38">
        <f>IFERROR(s_RadSpec!$N$6*V6,".")*$B47</f>
        <v>2.6022144822198933E-7</v>
      </c>
      <c r="W47" s="38">
        <f>IFERROR(s_RadSpec!$O$6*W6,".")*$B47</f>
        <v>4.8795484734804915E-7</v>
      </c>
      <c r="X47" s="38">
        <f>IFERROR(s_RadSpec!$K$6*X6,".")*$B47</f>
        <v>3.8009315865112393E-8</v>
      </c>
      <c r="Y47" s="47">
        <f t="shared" si="37"/>
        <v>5.9725073030678684E-7</v>
      </c>
      <c r="Z47" s="47">
        <f t="shared" si="37"/>
        <v>6.5209487858050799E-8</v>
      </c>
      <c r="AA47" s="47">
        <f t="shared" si="37"/>
        <v>2.6022144822198933E-7</v>
      </c>
      <c r="AB47" s="47">
        <f t="shared" si="37"/>
        <v>4.8795484734804915E-7</v>
      </c>
      <c r="AC47" s="47">
        <f t="shared" si="37"/>
        <v>3.8009315865112393E-8</v>
      </c>
      <c r="AD47" s="30">
        <f t="shared" si="39"/>
        <v>0</v>
      </c>
      <c r="AE47" s="30">
        <f t="shared" si="39"/>
        <v>13379.644563148266</v>
      </c>
      <c r="AF47" s="30">
        <f t="shared" si="38"/>
        <v>13379.644563148266</v>
      </c>
      <c r="AG47" s="38">
        <f>IFERROR(s_RadSpec!$G$6*AG6,".")*$B$47</f>
        <v>0</v>
      </c>
      <c r="AH47" s="38">
        <f>IFERROR(s_RadSpec!$J$6*AH6,".")*$B$47</f>
        <v>3.7370200504216442E-9</v>
      </c>
      <c r="AI47" s="47">
        <f>IFERROR(IF(AG47&gt;0.01,1-EXP(-AG47),AG47),".")</f>
        <v>0</v>
      </c>
      <c r="AJ47" s="47">
        <f>IFERROR(IF(AH47&gt;0.01,1-EXP(-AH47),AH47),".")</f>
        <v>3.7370200504216442E-9</v>
      </c>
      <c r="AK47" s="47">
        <f>IFERROR(IF(SUM(AG47:AH47)&gt;0.01,1-EXP(-SUM(AG47:AH47)),SUM(AG47:AH47)),".")</f>
        <v>3.7370200504216442E-9</v>
      </c>
    </row>
    <row r="48" spans="1:37" x14ac:dyDescent="0.25">
      <c r="A48" s="26" t="s">
        <v>33</v>
      </c>
      <c r="B48" s="26" t="s">
        <v>289</v>
      </c>
      <c r="C48" s="112"/>
      <c r="D48" s="27">
        <f>1/SUM(1/D49,1/D52,1/D54,1/D58,1/D59,1/D61)</f>
        <v>155.82469539659473</v>
      </c>
      <c r="E48" s="27">
        <f>1/SUM(1/E49,1/E50,1/E51,1/E52,1/E54,1/E58,1/E59,1/E61)</f>
        <v>7629.6119979845798</v>
      </c>
      <c r="F48" s="27">
        <f>1/SUM(1/F49,1/F50,1/F52,1/F54,1/F55,1/F56,1/F57,1/F58,1/F59,1/F60,1/F61,1/F62)</f>
        <v>16.808536667240073</v>
      </c>
      <c r="G48" s="28">
        <f>1/SUM(1/G49,1/G50,1/G51,1/G52,1/G54,1/G55,1/G56,1/G57,1/G58,1/G59,1/G60,1/G61,1/G62)</f>
        <v>15.141853033105519</v>
      </c>
      <c r="H48" s="45"/>
      <c r="I48" s="45"/>
      <c r="J48" s="45"/>
      <c r="K48" s="46">
        <f>IFERROR(IF(SUM(H49:H62)&gt;0.01,1-EXP(-SUM(H49:H62)),SUM(H49:H62)),".")</f>
        <v>3.2087340118165039E-7</v>
      </c>
      <c r="L48" s="46">
        <f>IFERROR(IF(SUM(I49:I62)&gt;0.01,1-EXP(-SUM(I49:I62)),SUM(I49:I62)),".")</f>
        <v>6.5534132028218317E-9</v>
      </c>
      <c r="M48" s="46">
        <f>IFERROR(IF(SUM(J49:J62)&gt;0.01,1-EXP(-SUM(J49:J62)),SUM(J49:J62)),".")</f>
        <v>2.9746789378429522E-6</v>
      </c>
      <c r="N48" s="46">
        <f>IFERROR(IF(SUM(H49:J62)&gt;0.01,1-EXP(-SUM(H49:J62)),SUM(H49:J62)),".")</f>
        <v>3.3021057522274243E-6</v>
      </c>
      <c r="O48" s="27">
        <f t="shared" ref="O48:S48" si="40">1/SUM(1/O49,1/O50,1/O52,1/O54,1/O55,1/O56,1/O57,1/O58,1/O59,1/O60,1/O61,1/O62)</f>
        <v>16.808536667240073</v>
      </c>
      <c r="P48" s="27">
        <f t="shared" si="40"/>
        <v>186.09808659518353</v>
      </c>
      <c r="Q48" s="27">
        <f t="shared" si="40"/>
        <v>45.883379951485615</v>
      </c>
      <c r="R48" s="27">
        <f t="shared" si="40"/>
        <v>23.703896715339845</v>
      </c>
      <c r="S48" s="27">
        <f t="shared" si="40"/>
        <v>341.22506303306892</v>
      </c>
      <c r="T48" s="45"/>
      <c r="U48" s="45"/>
      <c r="V48" s="45"/>
      <c r="W48" s="45"/>
      <c r="X48" s="45"/>
      <c r="Y48" s="46">
        <f>IFERROR(IF(SUM(T49:T62)&gt;0.01,1-EXP(-SUM(T49:T62)),SUM(T49:T62)),".")</f>
        <v>2.9746789378429522E-6</v>
      </c>
      <c r="Z48" s="46">
        <f t="shared" ref="Z48:AC48" si="41">IFERROR(IF(SUM(U49:U62)&gt;0.01,1-EXP(-SUM(U49:U62)),SUM(U49:U62)),".")</f>
        <v>2.6867551899533644E-7</v>
      </c>
      <c r="AA48" s="46">
        <f t="shared" si="41"/>
        <v>1.0897191979506979E-6</v>
      </c>
      <c r="AB48" s="46">
        <f t="shared" si="41"/>
        <v>2.1093578241776067E-6</v>
      </c>
      <c r="AC48" s="46">
        <f t="shared" si="41"/>
        <v>1.4653085431521892E-7</v>
      </c>
      <c r="AD48" s="27">
        <f>1/SUM(1/AD49,1/AD50,1/AD51,1/AD52,1/AD54,1/AD58,1/AD59,1/AD61)</f>
        <v>2.4592970622668426E-2</v>
      </c>
      <c r="AE48" s="27">
        <f t="shared" ref="AE48:AF48" si="42">1/SUM(1/AE49,1/AE50,1/AE51,1/AE52,1/AE53,1/AE54,1/AE55,1/AE56,1/AE57,1/AE58,1/AE59,1/AE60,1/AE61,1/AE62)</f>
        <v>4109.2038407422961</v>
      </c>
      <c r="AF48" s="28">
        <f t="shared" si="42"/>
        <v>2.4592823438297003E-2</v>
      </c>
      <c r="AG48" s="45"/>
      <c r="AH48" s="45"/>
      <c r="AI48" s="46">
        <f>IFERROR(IF(SUM(AG49:AG62)&gt;0.01,1-EXP(-SUM(AG49:AG62)),SUM(AG49:AG62)),".")</f>
        <v>2.0331012778876251E-3</v>
      </c>
      <c r="AJ48" s="46">
        <f>IFERROR(IF(SUM(AH49:AH62)&gt;0.01,1-EXP(-SUM(AH49:AH62)),SUM(AH49:AH62)),".")</f>
        <v>1.2167807180616258E-8</v>
      </c>
      <c r="AK48" s="46">
        <f>IFERROR(IF(SUM(AG49:AH62)&gt;0.01,1-EXP(-SUM(AG49:AH62)),SUM(AG49:AH62)),".")</f>
        <v>2.0331134456948053E-3</v>
      </c>
    </row>
    <row r="49" spans="1:37" x14ac:dyDescent="0.25">
      <c r="A49" s="29" t="s">
        <v>305</v>
      </c>
      <c r="B49" s="24">
        <v>1</v>
      </c>
      <c r="C49" s="109"/>
      <c r="D49" s="30">
        <f>IFERROR(D23/$B49,0)</f>
        <v>1234.6746015087724</v>
      </c>
      <c r="E49" s="30">
        <f>IFERROR(E23/$B49,0)</f>
        <v>16026.267160836949</v>
      </c>
      <c r="F49" s="30">
        <f>IFERROR(F23/$B49,0)</f>
        <v>7004.3407599423999</v>
      </c>
      <c r="G49" s="30">
        <f t="shared" si="20"/>
        <v>985.12833237165194</v>
      </c>
      <c r="H49" s="38">
        <f>IFERROR(s_RadSpec!$I$23*H23,".")*$B$49</f>
        <v>4.0496499999999995E-8</v>
      </c>
      <c r="I49" s="38">
        <f>IFERROR(s_RadSpec!$G$23*I23,".")*$B$49</f>
        <v>3.1198781037535641E-9</v>
      </c>
      <c r="J49" s="38">
        <f>IFERROR(s_RadSpec!$F$23*J23,".")*$B$49</f>
        <v>7.1384305409508938E-9</v>
      </c>
      <c r="K49" s="47">
        <f t="shared" ref="K49:M62" si="43">IFERROR(IF(H49&gt;0.01,1-EXP(-H49),H49),".")</f>
        <v>4.0496499999999995E-8</v>
      </c>
      <c r="L49" s="47">
        <f t="shared" si="43"/>
        <v>3.1198781037535641E-9</v>
      </c>
      <c r="M49" s="47">
        <f t="shared" si="43"/>
        <v>7.1384305409508938E-9</v>
      </c>
      <c r="N49" s="47">
        <f t="shared" ref="N49:N62" si="44">IFERROR(IF(SUM(H49:J49)&gt;0.01,1-EXP(-SUM(H49:J49)),SUM(H49:J49)),".")</f>
        <v>5.0754808644704455E-8</v>
      </c>
      <c r="O49" s="30">
        <f t="shared" ref="O49:AE49" si="45">IFERROR(O23/$B49,0)</f>
        <v>7004.3407599423999</v>
      </c>
      <c r="P49" s="30">
        <f t="shared" si="45"/>
        <v>49191.033953105143</v>
      </c>
      <c r="Q49" s="30">
        <f t="shared" si="45"/>
        <v>12722.160963188748</v>
      </c>
      <c r="R49" s="30">
        <f t="shared" si="45"/>
        <v>7422.8079282573035</v>
      </c>
      <c r="S49" s="30">
        <f t="shared" si="45"/>
        <v>78505.422140040173</v>
      </c>
      <c r="T49" s="38">
        <f>IFERROR(s_RadSpec!$F$23*T23,".")*$B$49</f>
        <v>7.1384305409508938E-9</v>
      </c>
      <c r="U49" s="38">
        <f>IFERROR(s_RadSpec!$M$23*U23,".")*$B$49</f>
        <v>1.0164453962822995E-9</v>
      </c>
      <c r="V49" s="38">
        <f>IFERROR(s_RadSpec!$N$23*V23,".")*$B$49</f>
        <v>3.9301499285124394E-9</v>
      </c>
      <c r="W49" s="38">
        <f>IFERROR(s_RadSpec!$O$23*W23,".")*$B$49</f>
        <v>6.7359953919404204E-9</v>
      </c>
      <c r="X49" s="38">
        <f>IFERROR(s_RadSpec!$K$23*X23,".")*$B$49</f>
        <v>6.3689868339041114E-10</v>
      </c>
      <c r="Y49" s="47">
        <f t="shared" ref="Y49:AC62" si="46">IFERROR(IF(T49&gt;0.01,1-EXP(-T49),T49),".")</f>
        <v>7.1384305409508938E-9</v>
      </c>
      <c r="Z49" s="47">
        <f t="shared" si="46"/>
        <v>1.0164453962822995E-9</v>
      </c>
      <c r="AA49" s="47">
        <f t="shared" si="46"/>
        <v>3.9301499285124394E-9</v>
      </c>
      <c r="AB49" s="47">
        <f t="shared" si="46"/>
        <v>6.7359953919404204E-9</v>
      </c>
      <c r="AC49" s="47">
        <f t="shared" si="46"/>
        <v>6.3689868339041114E-10</v>
      </c>
      <c r="AD49" s="30">
        <f t="shared" si="45"/>
        <v>5.1658395942232996E-2</v>
      </c>
      <c r="AE49" s="30">
        <f t="shared" si="45"/>
        <v>1118087.7643327571</v>
      </c>
      <c r="AF49" s="30">
        <f t="shared" ref="AF49:AF62" si="47">IFERROR(IF(AND(AD49&lt;&gt;0,AE49&lt;&gt;0),1/((1/AD49)+(1/AE49)),IF(AND(AD49&lt;&gt;0,AE49=0),1/((1/AD49)),IF(AND(AD49=0,AE49&lt;&gt;0),1/((1/AE49)),IF(AND(AD49=0,AE49=0),0)))),0)</f>
        <v>5.1658393555488562E-2</v>
      </c>
      <c r="AG49" s="38">
        <f>IFERROR(s_RadSpec!$G$23*AG23,".")*$B$49</f>
        <v>9.6789687499999996E-4</v>
      </c>
      <c r="AH49" s="38">
        <f>IFERROR(s_RadSpec!$J$23*AH23,".")*$B$49</f>
        <v>4.4719208630136992E-11</v>
      </c>
      <c r="AI49" s="47">
        <f t="shared" ref="AI49:AJ62" si="48">IFERROR(IF(AG49&gt;0.01,1-EXP(-AG49),AG49),".")</f>
        <v>9.6789687499999996E-4</v>
      </c>
      <c r="AJ49" s="47">
        <f t="shared" si="48"/>
        <v>4.4719208630136992E-11</v>
      </c>
      <c r="AK49" s="47">
        <f t="shared" ref="AK49:AK62" si="49">IFERROR(IF(SUM(AG49:AH49)&gt;0.01,1-EXP(-SUM(AG49:AH49)),SUM(AG49:AH49)),".")</f>
        <v>9.6789691971920855E-4</v>
      </c>
    </row>
    <row r="50" spans="1:37" x14ac:dyDescent="0.25">
      <c r="A50" s="29" t="s">
        <v>306</v>
      </c>
      <c r="B50" s="24">
        <v>1</v>
      </c>
      <c r="C50" s="109"/>
      <c r="D50" s="30">
        <f>IFERROR(D25/$B50,0)</f>
        <v>0</v>
      </c>
      <c r="E50" s="30">
        <f>IFERROR(E25/$B50,0)</f>
        <v>197917370.37179211</v>
      </c>
      <c r="F50" s="30">
        <f>IFERROR(F25/$B50,0)</f>
        <v>151122.2348689615</v>
      </c>
      <c r="G50" s="30">
        <f t="shared" si="20"/>
        <v>151006.93167474199</v>
      </c>
      <c r="H50" s="38">
        <f>IFERROR(s_RadSpec!$I$25*H25,".")*$B$50</f>
        <v>0</v>
      </c>
      <c r="I50" s="38">
        <f>IFERROR(s_RadSpec!$G$25*I25,".")*$B$50</f>
        <v>2.5263068070313339E-13</v>
      </c>
      <c r="J50" s="38">
        <f>IFERROR(s_RadSpec!$F$25*J25,".")*$B$50</f>
        <v>3.3085799745719175E-10</v>
      </c>
      <c r="K50" s="47">
        <f t="shared" si="43"/>
        <v>0</v>
      </c>
      <c r="L50" s="47">
        <f t="shared" si="43"/>
        <v>2.5263068070313339E-13</v>
      </c>
      <c r="M50" s="47">
        <f t="shared" si="43"/>
        <v>3.3085799745719175E-10</v>
      </c>
      <c r="N50" s="47">
        <f t="shared" si="44"/>
        <v>3.3111062813789487E-10</v>
      </c>
      <c r="O50" s="30">
        <f t="shared" ref="O50:AE50" si="50">IFERROR(O25/$B50,0)</f>
        <v>151122.2348689615</v>
      </c>
      <c r="P50" s="30">
        <f t="shared" si="50"/>
        <v>1284068.7702228804</v>
      </c>
      <c r="Q50" s="30">
        <f t="shared" si="50"/>
        <v>326390.11626016838</v>
      </c>
      <c r="R50" s="30">
        <f t="shared" si="50"/>
        <v>190419.32978219242</v>
      </c>
      <c r="S50" s="30">
        <f t="shared" si="50"/>
        <v>2345168.5866387296</v>
      </c>
      <c r="T50" s="38">
        <f>IFERROR(s_RadSpec!$F$25*T25,".")*$B$50</f>
        <v>3.3085799745719175E-10</v>
      </c>
      <c r="U50" s="38">
        <f>IFERROR(s_RadSpec!$M$25*U25,".")*$B$50</f>
        <v>3.8938724435546656E-11</v>
      </c>
      <c r="V50" s="38">
        <f>IFERROR(s_RadSpec!$N$25*V25,".")*$B$50</f>
        <v>1.5319091329390804E-10</v>
      </c>
      <c r="W50" s="38">
        <f>IFERROR(s_RadSpec!$O$25*W25,".")*$B$50</f>
        <v>2.6257838454316364E-10</v>
      </c>
      <c r="X50" s="38">
        <f>IFERROR(s_RadSpec!$K$25*X25,".")*$B$50</f>
        <v>2.1320428853118714E-11</v>
      </c>
      <c r="Y50" s="47">
        <f t="shared" si="46"/>
        <v>3.3085799745719175E-10</v>
      </c>
      <c r="Z50" s="47">
        <f t="shared" si="46"/>
        <v>3.8938724435546656E-11</v>
      </c>
      <c r="AA50" s="47">
        <f t="shared" si="46"/>
        <v>1.5319091329390804E-10</v>
      </c>
      <c r="AB50" s="47">
        <f t="shared" si="46"/>
        <v>2.6257838454316364E-10</v>
      </c>
      <c r="AC50" s="47">
        <f t="shared" si="46"/>
        <v>2.1320428853118714E-11</v>
      </c>
      <c r="AD50" s="30">
        <f t="shared" si="50"/>
        <v>637.95853269537486</v>
      </c>
      <c r="AE50" s="30">
        <f t="shared" si="50"/>
        <v>19626864.352316026</v>
      </c>
      <c r="AF50" s="30">
        <f t="shared" si="47"/>
        <v>637.93779693985209</v>
      </c>
      <c r="AG50" s="38">
        <f>IFERROR(s_RadSpec!$G$25*AG$25,".")*$B$50</f>
        <v>7.8374999999999999E-8</v>
      </c>
      <c r="AH50" s="38">
        <f>IFERROR(s_RadSpec!$J$25*AH25,".")*$B$50</f>
        <v>2.5475286883561649E-12</v>
      </c>
      <c r="AI50" s="47">
        <f t="shared" si="48"/>
        <v>7.8374999999999999E-8</v>
      </c>
      <c r="AJ50" s="47">
        <f t="shared" si="48"/>
        <v>2.5475286883561649E-12</v>
      </c>
      <c r="AK50" s="47">
        <f t="shared" si="49"/>
        <v>7.8377547528688359E-8</v>
      </c>
    </row>
    <row r="51" spans="1:37" x14ac:dyDescent="0.25">
      <c r="A51" s="29" t="s">
        <v>307</v>
      </c>
      <c r="B51" s="24">
        <v>1</v>
      </c>
      <c r="C51" s="109"/>
      <c r="D51" s="30">
        <f>IFERROR(D21/$B51,0)</f>
        <v>0</v>
      </c>
      <c r="E51" s="30">
        <f>IFERROR(E21/$B51,0)</f>
        <v>32464144.20486949</v>
      </c>
      <c r="F51" s="30">
        <f>IFERROR(F21/$B51,0)</f>
        <v>0</v>
      </c>
      <c r="G51" s="30">
        <f t="shared" si="20"/>
        <v>32464144.204869494</v>
      </c>
      <c r="H51" s="38">
        <f>IFERROR(s_RadSpec!$I$21*H21,".")*$B$51</f>
        <v>0</v>
      </c>
      <c r="I51" s="38">
        <f>IFERROR(s_RadSpec!$G$21*I21,".")*$B$51</f>
        <v>1.5401607288480501E-12</v>
      </c>
      <c r="J51" s="38">
        <f>IFERROR(s_RadSpec!$F$21*J21,".")*$B$51</f>
        <v>0</v>
      </c>
      <c r="K51" s="47">
        <f t="shared" si="43"/>
        <v>0</v>
      </c>
      <c r="L51" s="47">
        <f t="shared" si="43"/>
        <v>1.5401607288480501E-12</v>
      </c>
      <c r="M51" s="47">
        <f t="shared" si="43"/>
        <v>0</v>
      </c>
      <c r="N51" s="47">
        <f t="shared" si="44"/>
        <v>1.5401607288480501E-12</v>
      </c>
      <c r="O51" s="30">
        <f t="shared" ref="O51:AE51" si="51">IFERROR(O21/$B51,0)</f>
        <v>0</v>
      </c>
      <c r="P51" s="30">
        <f t="shared" si="51"/>
        <v>0</v>
      </c>
      <c r="Q51" s="30">
        <f t="shared" si="51"/>
        <v>0</v>
      </c>
      <c r="R51" s="30">
        <f t="shared" si="51"/>
        <v>0</v>
      </c>
      <c r="S51" s="30">
        <f t="shared" si="51"/>
        <v>0</v>
      </c>
      <c r="T51" s="38">
        <f>IFERROR(s_RadSpec!$F$21*T21,".")*$B$51</f>
        <v>0</v>
      </c>
      <c r="U51" s="38">
        <f>IFERROR(s_RadSpec!$M$21*U21,".")*$B$51</f>
        <v>0</v>
      </c>
      <c r="V51" s="38">
        <f>IFERROR(s_RadSpec!$N$21*V21,".")*$B$51</f>
        <v>0</v>
      </c>
      <c r="W51" s="38">
        <f>IFERROR(s_RadSpec!$O$21*W21,".")*$B$51</f>
        <v>0</v>
      </c>
      <c r="X51" s="38">
        <f>IFERROR(s_RadSpec!$K$21*X21,".")*$B$51</f>
        <v>0</v>
      </c>
      <c r="Y51" s="47">
        <f t="shared" si="46"/>
        <v>0</v>
      </c>
      <c r="Z51" s="47">
        <f t="shared" si="46"/>
        <v>0</v>
      </c>
      <c r="AA51" s="47">
        <f t="shared" si="46"/>
        <v>0</v>
      </c>
      <c r="AB51" s="47">
        <f t="shared" si="46"/>
        <v>0</v>
      </c>
      <c r="AC51" s="47">
        <f t="shared" si="46"/>
        <v>0</v>
      </c>
      <c r="AD51" s="30">
        <f t="shared" si="51"/>
        <v>104.64355788096796</v>
      </c>
      <c r="AE51" s="30">
        <f t="shared" si="51"/>
        <v>807140279577.49329</v>
      </c>
      <c r="AF51" s="30">
        <f t="shared" si="47"/>
        <v>104.64355786740121</v>
      </c>
      <c r="AG51" s="38">
        <f>IFERROR(s_RadSpec!$G$21*AG21,".")*$B$51</f>
        <v>4.7781250000000003E-7</v>
      </c>
      <c r="AH51" s="38">
        <f>IFERROR(s_RadSpec!$J$21*AH21,".")*$B$51</f>
        <v>6.1947100479452062E-17</v>
      </c>
      <c r="AI51" s="47">
        <f t="shared" si="48"/>
        <v>4.7781250000000003E-7</v>
      </c>
      <c r="AJ51" s="47">
        <f t="shared" si="48"/>
        <v>6.1947100479452062E-17</v>
      </c>
      <c r="AK51" s="47">
        <f t="shared" si="49"/>
        <v>4.7781250006194715E-7</v>
      </c>
    </row>
    <row r="52" spans="1:37" x14ac:dyDescent="0.25">
      <c r="A52" s="29" t="s">
        <v>308</v>
      </c>
      <c r="B52" s="32">
        <v>0.99980000000000002</v>
      </c>
      <c r="C52" s="109"/>
      <c r="D52" s="30">
        <f>IFERROR(D17/$B52,0)</f>
        <v>1649324.8025460506</v>
      </c>
      <c r="E52" s="30">
        <f>IFERROR(E17/$B52,0)</f>
        <v>5808775.7119980734</v>
      </c>
      <c r="F52" s="30">
        <f>IFERROR(F17/$B52,0)</f>
        <v>353.95758981883785</v>
      </c>
      <c r="G52" s="30">
        <f t="shared" si="20"/>
        <v>353.8600863104852</v>
      </c>
      <c r="H52" s="38">
        <f>IFERROR(s_RadSpec!$I$17*H17,".")*$B$52</f>
        <v>3.0315435699999997E-11</v>
      </c>
      <c r="I52" s="38">
        <f>IFERROR(s_RadSpec!$G$17*I17,".")*$B$52</f>
        <v>8.6076657937962001E-12</v>
      </c>
      <c r="J52" s="38">
        <f>IFERROR(s_RadSpec!$F$17*J17,".")*$B$52</f>
        <v>1.4125986117599842E-7</v>
      </c>
      <c r="K52" s="47">
        <f t="shared" si="43"/>
        <v>3.0315435699999997E-11</v>
      </c>
      <c r="L52" s="47">
        <f t="shared" si="43"/>
        <v>8.6076657937962001E-12</v>
      </c>
      <c r="M52" s="47">
        <f t="shared" si="43"/>
        <v>1.4125986117599842E-7</v>
      </c>
      <c r="N52" s="47">
        <f t="shared" si="44"/>
        <v>1.4129878427749221E-7</v>
      </c>
      <c r="O52" s="30">
        <f t="shared" ref="O52:AE52" si="52">IFERROR(O17/$B52,0)</f>
        <v>353.95758981883785</v>
      </c>
      <c r="P52" s="30">
        <f t="shared" si="52"/>
        <v>2719.2215430932952</v>
      </c>
      <c r="Q52" s="30">
        <f t="shared" si="52"/>
        <v>735.58691260493879</v>
      </c>
      <c r="R52" s="30">
        <f t="shared" si="52"/>
        <v>442.52761961428757</v>
      </c>
      <c r="S52" s="30">
        <f t="shared" si="52"/>
        <v>5281.3254696956492</v>
      </c>
      <c r="T52" s="38">
        <f>IFERROR(s_RadSpec!$F$17*T17,".")*$B$52</f>
        <v>1.4125986117599842E-7</v>
      </c>
      <c r="U52" s="38">
        <f>IFERROR(s_RadSpec!$M$17*U17,".")*$B$52</f>
        <v>1.838761542876043E-8</v>
      </c>
      <c r="V52" s="38">
        <f>IFERROR(s_RadSpec!$N$17*V17,".")*$B$52</f>
        <v>6.797293310036564E-8</v>
      </c>
      <c r="W52" s="38">
        <f>IFERROR(s_RadSpec!$O$17*W17,".")*$B$52</f>
        <v>1.1298729793087404E-7</v>
      </c>
      <c r="X52" s="38">
        <f>IFERROR(s_RadSpec!$K$17*X17,".")*$B$52</f>
        <v>9.4673203321592296E-9</v>
      </c>
      <c r="Y52" s="47">
        <f t="shared" si="46"/>
        <v>1.4125986117599842E-7</v>
      </c>
      <c r="Z52" s="47">
        <f t="shared" si="46"/>
        <v>1.838761542876043E-8</v>
      </c>
      <c r="AA52" s="47">
        <f t="shared" si="46"/>
        <v>6.797293310036564E-8</v>
      </c>
      <c r="AB52" s="47">
        <f t="shared" si="46"/>
        <v>1.1298729793087404E-7</v>
      </c>
      <c r="AC52" s="47">
        <f t="shared" si="46"/>
        <v>9.4673203321592296E-9</v>
      </c>
      <c r="AD52" s="30">
        <f t="shared" si="52"/>
        <v>18.723763472713259</v>
      </c>
      <c r="AE52" s="30">
        <f t="shared" si="52"/>
        <v>31256.35602460615</v>
      </c>
      <c r="AF52" s="30">
        <f t="shared" si="47"/>
        <v>18.712553930772593</v>
      </c>
      <c r="AG52" s="38">
        <f>IFERROR(s_RadSpec!$G$17*AG17,".")*$B$52</f>
        <v>2.6704033125000002E-6</v>
      </c>
      <c r="AH52" s="38">
        <f>IFERROR(s_RadSpec!$J$17*AH17,".")*$B$52</f>
        <v>1.599674637716507E-9</v>
      </c>
      <c r="AI52" s="47">
        <f t="shared" si="48"/>
        <v>2.6704033125000002E-6</v>
      </c>
      <c r="AJ52" s="47">
        <f t="shared" si="48"/>
        <v>1.599674637716507E-9</v>
      </c>
      <c r="AK52" s="47">
        <f t="shared" si="49"/>
        <v>2.6720029871377169E-6</v>
      </c>
    </row>
    <row r="53" spans="1:37" x14ac:dyDescent="0.25">
      <c r="A53" s="29" t="s">
        <v>309</v>
      </c>
      <c r="B53" s="24">
        <v>2.0000000000000001E-4</v>
      </c>
      <c r="C53" s="109"/>
      <c r="D53" s="30">
        <f>IFERROR(D5/$B53,0)</f>
        <v>0</v>
      </c>
      <c r="E53" s="30">
        <f>IFERROR(E5/$B53,0)</f>
        <v>0</v>
      </c>
      <c r="F53" s="30">
        <f>IFERROR(F5/$B53,0)</f>
        <v>0</v>
      </c>
      <c r="G53" s="30">
        <f t="shared" si="20"/>
        <v>0</v>
      </c>
      <c r="H53" s="38">
        <f>IFERROR(s_RadSpec!$I$5*H5,".")*$B$53</f>
        <v>0</v>
      </c>
      <c r="I53" s="38">
        <f>IFERROR(s_RadSpec!$G$5*I5,".")*$B$53</f>
        <v>0</v>
      </c>
      <c r="J53" s="38">
        <f>IFERROR(s_RadSpec!$F$5*J5,".")*$B$53</f>
        <v>0</v>
      </c>
      <c r="K53" s="47">
        <f t="shared" si="43"/>
        <v>0</v>
      </c>
      <c r="L53" s="47">
        <f t="shared" si="43"/>
        <v>0</v>
      </c>
      <c r="M53" s="47">
        <f t="shared" si="43"/>
        <v>0</v>
      </c>
      <c r="N53" s="47">
        <f t="shared" si="44"/>
        <v>0</v>
      </c>
      <c r="O53" s="30">
        <f t="shared" ref="O53:AE53" si="53">IFERROR(O5/$B53,0)</f>
        <v>0</v>
      </c>
      <c r="P53" s="30">
        <f t="shared" si="53"/>
        <v>0</v>
      </c>
      <c r="Q53" s="30">
        <f t="shared" si="53"/>
        <v>0</v>
      </c>
      <c r="R53" s="30">
        <f t="shared" si="53"/>
        <v>0</v>
      </c>
      <c r="S53" s="30">
        <f t="shared" si="53"/>
        <v>0</v>
      </c>
      <c r="T53" s="38">
        <f>IFERROR(s_RadSpec!$F$5*T5,".")*$B$53</f>
        <v>0</v>
      </c>
      <c r="U53" s="38">
        <f>IFERROR(s_RadSpec!$M$5*U5,".")*$B$53</f>
        <v>0</v>
      </c>
      <c r="V53" s="38">
        <f>IFERROR(s_RadSpec!$N$5*V5,".")*$B$53</f>
        <v>0</v>
      </c>
      <c r="W53" s="38">
        <f>IFERROR(s_RadSpec!$O$5*W5,".")*$B$53</f>
        <v>0</v>
      </c>
      <c r="X53" s="38">
        <f>IFERROR(s_RadSpec!$K$5*X5,".")*$B$53</f>
        <v>0</v>
      </c>
      <c r="Y53" s="47">
        <f t="shared" si="46"/>
        <v>0</v>
      </c>
      <c r="Z53" s="47">
        <f t="shared" si="46"/>
        <v>0</v>
      </c>
      <c r="AA53" s="47">
        <f t="shared" si="46"/>
        <v>0</v>
      </c>
      <c r="AB53" s="47">
        <f t="shared" si="46"/>
        <v>0</v>
      </c>
      <c r="AC53" s="47">
        <f t="shared" si="46"/>
        <v>0</v>
      </c>
      <c r="AD53" s="30">
        <f t="shared" si="53"/>
        <v>0</v>
      </c>
      <c r="AE53" s="30">
        <f t="shared" si="53"/>
        <v>5166920729113.499</v>
      </c>
      <c r="AF53" s="30">
        <f t="shared" si="47"/>
        <v>5166920729113.499</v>
      </c>
      <c r="AG53" s="38">
        <f>IFERROR(s_RadSpec!$G$5*AG5,".")*$B$53</f>
        <v>0</v>
      </c>
      <c r="AH53" s="38">
        <f>IFERROR(s_RadSpec!$J$5*AH5,".")*$B$53</f>
        <v>9.6769435068493164E-18</v>
      </c>
      <c r="AI53" s="47">
        <f t="shared" si="48"/>
        <v>0</v>
      </c>
      <c r="AJ53" s="47">
        <f t="shared" si="48"/>
        <v>9.6769435068493164E-18</v>
      </c>
      <c r="AK53" s="47">
        <f t="shared" si="49"/>
        <v>9.6769435068493164E-18</v>
      </c>
    </row>
    <row r="54" spans="1:37" x14ac:dyDescent="0.25">
      <c r="A54" s="29" t="s">
        <v>310</v>
      </c>
      <c r="B54" s="24">
        <v>0.99999979999999999</v>
      </c>
      <c r="C54" s="109"/>
      <c r="D54" s="30">
        <f>IFERROR(D9/$B54,0)</f>
        <v>2469349.6968874843</v>
      </c>
      <c r="E54" s="30">
        <f>IFERROR(E9/$B54,0)</f>
        <v>7301807.3575732186</v>
      </c>
      <c r="F54" s="30">
        <f>IFERROR(F9/$B54,0)</f>
        <v>17.702048926630678</v>
      </c>
      <c r="G54" s="30">
        <f t="shared" si="20"/>
        <v>17.701879111676025</v>
      </c>
      <c r="H54" s="38">
        <f>IFERROR(s_RadSpec!$I$9*H9,".")*$B$54</f>
        <v>2.0248245950349999E-11</v>
      </c>
      <c r="I54" s="38">
        <f>IFERROR(s_RadSpec!$G$9*I9,".")*$B$54</f>
        <v>6.8476197126922933E-12</v>
      </c>
      <c r="J54" s="38">
        <f>IFERROR(s_RadSpec!$F$9*J9,".")*$B$54</f>
        <v>2.8245317933101414E-6</v>
      </c>
      <c r="K54" s="47">
        <f t="shared" si="43"/>
        <v>2.0248245950349999E-11</v>
      </c>
      <c r="L54" s="47">
        <f t="shared" si="43"/>
        <v>6.8476197126922933E-12</v>
      </c>
      <c r="M54" s="47">
        <f t="shared" si="43"/>
        <v>2.8245317933101414E-6</v>
      </c>
      <c r="N54" s="47">
        <f t="shared" si="44"/>
        <v>2.8245588891758045E-6</v>
      </c>
      <c r="O54" s="30">
        <f t="shared" ref="O54:AE54" si="54">IFERROR(O9/$B54,0)</f>
        <v>17.702048926630678</v>
      </c>
      <c r="P54" s="30">
        <f t="shared" si="54"/>
        <v>200.75264902486708</v>
      </c>
      <c r="Q54" s="30">
        <f t="shared" si="54"/>
        <v>49.16175466002435</v>
      </c>
      <c r="R54" s="30">
        <f t="shared" si="54"/>
        <v>25.146995650179655</v>
      </c>
      <c r="S54" s="30">
        <f t="shared" si="54"/>
        <v>367.22650879724722</v>
      </c>
      <c r="T54" s="38">
        <f>IFERROR(s_RadSpec!$F$9*T9,".")*$B$54</f>
        <v>2.8245317933101414E-6</v>
      </c>
      <c r="U54" s="38">
        <f>IFERROR(s_RadSpec!$M$9*U9,".")*$B$54</f>
        <v>2.4906271594855285E-7</v>
      </c>
      <c r="V54" s="38">
        <f>IFERROR(s_RadSpec!$N$9*V9,".")*$B$54</f>
        <v>1.0170507612222654E-6</v>
      </c>
      <c r="W54" s="38">
        <f>IFERROR(s_RadSpec!$O$9*W9,".")*$B$54</f>
        <v>1.9883090885110476E-6</v>
      </c>
      <c r="X54" s="38">
        <f>IFERROR(s_RadSpec!$K$9*X9,".")*$B$54</f>
        <v>1.3615574802527661E-7</v>
      </c>
      <c r="Y54" s="47">
        <f t="shared" si="46"/>
        <v>2.8245317933101414E-6</v>
      </c>
      <c r="Z54" s="47">
        <f t="shared" si="46"/>
        <v>2.4906271594855285E-7</v>
      </c>
      <c r="AA54" s="47">
        <f t="shared" si="46"/>
        <v>1.0170507612222654E-6</v>
      </c>
      <c r="AB54" s="47">
        <f t="shared" si="46"/>
        <v>1.9883090885110476E-6</v>
      </c>
      <c r="AC54" s="47">
        <f t="shared" si="46"/>
        <v>1.3615574802527661E-7</v>
      </c>
      <c r="AD54" s="30">
        <f t="shared" si="54"/>
        <v>23.536338923213652</v>
      </c>
      <c r="AE54" s="30">
        <f t="shared" si="54"/>
        <v>4761.142566490169</v>
      </c>
      <c r="AF54" s="30">
        <f t="shared" si="47"/>
        <v>23.420561195834367</v>
      </c>
      <c r="AG54" s="38">
        <f>IFERROR(s_RadSpec!$G$9*AG9,".")*$B$54</f>
        <v>2.1243745751249998E-6</v>
      </c>
      <c r="AH54" s="38">
        <f>IFERROR(s_RadSpec!$J$9*AH9,".")*$B$54</f>
        <v>1.050168090993737E-8</v>
      </c>
      <c r="AI54" s="47">
        <f t="shared" si="48"/>
        <v>2.1243745751249998E-6</v>
      </c>
      <c r="AJ54" s="47">
        <f t="shared" si="48"/>
        <v>1.050168090993737E-8</v>
      </c>
      <c r="AK54" s="47">
        <f t="shared" si="49"/>
        <v>2.1348762560349371E-6</v>
      </c>
    </row>
    <row r="55" spans="1:37" x14ac:dyDescent="0.25">
      <c r="A55" s="29" t="s">
        <v>311</v>
      </c>
      <c r="B55" s="24">
        <v>1.9999999999999999E-7</v>
      </c>
      <c r="C55" s="109"/>
      <c r="D55" s="30">
        <f>IFERROR(D24/$B55,0)</f>
        <v>0</v>
      </c>
      <c r="E55" s="30">
        <f>IFERROR(E24/$B55,0)</f>
        <v>0</v>
      </c>
      <c r="F55" s="30">
        <f>IFERROR(F24/$B55,0)</f>
        <v>338789087917.6972</v>
      </c>
      <c r="G55" s="30">
        <f t="shared" si="20"/>
        <v>338789087917.6972</v>
      </c>
      <c r="H55" s="38">
        <f>IFERROR(s_RadSpec!$I$24*H24,".")*$B$55</f>
        <v>0</v>
      </c>
      <c r="I55" s="38">
        <f>IFERROR(s_RadSpec!$G$24*I24,".")*$B$55</f>
        <v>0</v>
      </c>
      <c r="J55" s="38">
        <f>IFERROR(s_RadSpec!$F$24*J24,".")*$B$55</f>
        <v>1.4758444643927444E-16</v>
      </c>
      <c r="K55" s="47">
        <f t="shared" si="43"/>
        <v>0</v>
      </c>
      <c r="L55" s="47">
        <f t="shared" si="43"/>
        <v>0</v>
      </c>
      <c r="M55" s="47">
        <f t="shared" si="43"/>
        <v>1.4758444643927444E-16</v>
      </c>
      <c r="N55" s="47">
        <f t="shared" si="44"/>
        <v>1.4758444643927444E-16</v>
      </c>
      <c r="O55" s="30">
        <f t="shared" ref="O55:AE55" si="55">IFERROR(O24/$B55,0)</f>
        <v>338789087917.6972</v>
      </c>
      <c r="P55" s="30">
        <f t="shared" si="55"/>
        <v>2984695188693.2773</v>
      </c>
      <c r="Q55" s="30">
        <f t="shared" si="55"/>
        <v>748624381200.15112</v>
      </c>
      <c r="R55" s="30">
        <f t="shared" si="55"/>
        <v>403943010259.75562</v>
      </c>
      <c r="S55" s="30">
        <f t="shared" si="55"/>
        <v>5078002126476.877</v>
      </c>
      <c r="T55" s="38">
        <f>IFERROR(s_RadSpec!$F$24*T24,".")*$B$55</f>
        <v>1.4758444643927444E-16</v>
      </c>
      <c r="U55" s="38">
        <f>IFERROR(s_RadSpec!$M$24*U24,".")*$B$55</f>
        <v>1.6752129393115818E-17</v>
      </c>
      <c r="V55" s="38">
        <f>IFERROR(s_RadSpec!$N$24*V24,".")*$B$55</f>
        <v>6.6789168581235497E-17</v>
      </c>
      <c r="W55" s="38">
        <f>IFERROR(s_RadSpec!$O$24*W24,".")*$B$55</f>
        <v>1.2377983708109592E-16</v>
      </c>
      <c r="X55" s="38">
        <f>IFERROR(s_RadSpec!$K$24*X24,".")*$B$55</f>
        <v>9.8463920956823346E-18</v>
      </c>
      <c r="Y55" s="47">
        <f t="shared" si="46"/>
        <v>1.4758444643927444E-16</v>
      </c>
      <c r="Z55" s="47">
        <f t="shared" si="46"/>
        <v>1.6752129393115818E-17</v>
      </c>
      <c r="AA55" s="47">
        <f t="shared" si="46"/>
        <v>6.6789168581235497E-17</v>
      </c>
      <c r="AB55" s="47">
        <f t="shared" si="46"/>
        <v>1.2377983708109592E-16</v>
      </c>
      <c r="AC55" s="47">
        <f t="shared" si="46"/>
        <v>9.8463920956823346E-18</v>
      </c>
      <c r="AD55" s="30">
        <f t="shared" si="55"/>
        <v>0</v>
      </c>
      <c r="AE55" s="30">
        <f t="shared" si="55"/>
        <v>49965826830987.688</v>
      </c>
      <c r="AF55" s="30">
        <f t="shared" si="47"/>
        <v>49965826830987.695</v>
      </c>
      <c r="AG55" s="38">
        <f>IFERROR(s_RadSpec!$G$24*AG24,".")*$B$55</f>
        <v>0</v>
      </c>
      <c r="AH55" s="38">
        <f>IFERROR(s_RadSpec!$J$24*AH24,".")*$B$55</f>
        <v>1.0006839308219179E-18</v>
      </c>
      <c r="AI55" s="47">
        <f t="shared" si="48"/>
        <v>0</v>
      </c>
      <c r="AJ55" s="47">
        <f t="shared" si="48"/>
        <v>1.0006839308219179E-18</v>
      </c>
      <c r="AK55" s="47">
        <f t="shared" si="49"/>
        <v>1.0006839308219179E-18</v>
      </c>
    </row>
    <row r="56" spans="1:37" x14ac:dyDescent="0.25">
      <c r="A56" s="29" t="s">
        <v>312</v>
      </c>
      <c r="B56" s="24">
        <v>0.99979000004200003</v>
      </c>
      <c r="C56" s="109"/>
      <c r="D56" s="30">
        <f>IFERROR(D20/$B56,0)</f>
        <v>0</v>
      </c>
      <c r="E56" s="30">
        <f>IFERROR(E20/$B56,0)</f>
        <v>0</v>
      </c>
      <c r="F56" s="30">
        <f>IFERROR(F20/$B56,0)</f>
        <v>466458.00103321346</v>
      </c>
      <c r="G56" s="30">
        <f t="shared" si="20"/>
        <v>466458.00103321346</v>
      </c>
      <c r="H56" s="38">
        <f>IFERROR(s_RadSpec!$I$20*H20,".")*$B$56</f>
        <v>0</v>
      </c>
      <c r="I56" s="38">
        <f>IFERROR(s_RadSpec!$G$20*I20,".")*$B$56</f>
        <v>0</v>
      </c>
      <c r="J56" s="38">
        <f>IFERROR(s_RadSpec!$F$20*J20,".")*$B$56</f>
        <v>1.0719078650006869E-10</v>
      </c>
      <c r="K56" s="47">
        <f t="shared" si="43"/>
        <v>0</v>
      </c>
      <c r="L56" s="47">
        <f t="shared" si="43"/>
        <v>0</v>
      </c>
      <c r="M56" s="47">
        <f t="shared" si="43"/>
        <v>1.0719078650006869E-10</v>
      </c>
      <c r="N56" s="47">
        <f t="shared" si="44"/>
        <v>1.0719078650006869E-10</v>
      </c>
      <c r="O56" s="30">
        <f t="shared" ref="O56:AE56" si="56">IFERROR(O20/$B56,0)</f>
        <v>466458.00103321346</v>
      </c>
      <c r="P56" s="30">
        <f t="shared" si="56"/>
        <v>4650226.5246433476</v>
      </c>
      <c r="Q56" s="30">
        <f t="shared" si="56"/>
        <v>1154344.3907067061</v>
      </c>
      <c r="R56" s="30">
        <f t="shared" si="56"/>
        <v>617117.21133585006</v>
      </c>
      <c r="S56" s="30">
        <f t="shared" si="56"/>
        <v>8133116.150045583</v>
      </c>
      <c r="T56" s="38">
        <f>IFERROR(s_RadSpec!$F$20*T20,".")*$B$56</f>
        <v>1.0719078650006869E-10</v>
      </c>
      <c r="U56" s="38">
        <f>IFERROR(s_RadSpec!$M$20*U20,".")*$B$56</f>
        <v>1.0752164380601825E-11</v>
      </c>
      <c r="V56" s="38">
        <f>IFERROR(s_RadSpec!$N$20*V20,".")*$B$56</f>
        <v>4.3314629847500983E-11</v>
      </c>
      <c r="W56" s="38">
        <f>IFERROR(s_RadSpec!$O$20*W20,".")*$B$56</f>
        <v>8.1021885440153096E-11</v>
      </c>
      <c r="X56" s="38">
        <f>IFERROR(s_RadSpec!$K$20*X20,".")*$B$56</f>
        <v>6.1477051449363318E-12</v>
      </c>
      <c r="Y56" s="47">
        <f t="shared" si="46"/>
        <v>1.0719078650006869E-10</v>
      </c>
      <c r="Z56" s="47">
        <f t="shared" si="46"/>
        <v>1.0752164380601825E-11</v>
      </c>
      <c r="AA56" s="47">
        <f t="shared" si="46"/>
        <v>4.3314629847500983E-11</v>
      </c>
      <c r="AB56" s="47">
        <f t="shared" si="46"/>
        <v>8.1021885440153096E-11</v>
      </c>
      <c r="AC56" s="47">
        <f t="shared" si="46"/>
        <v>6.1477051449363318E-12</v>
      </c>
      <c r="AD56" s="30">
        <f t="shared" si="56"/>
        <v>0</v>
      </c>
      <c r="AE56" s="30">
        <f t="shared" si="56"/>
        <v>89173437.038030326</v>
      </c>
      <c r="AF56" s="30">
        <f t="shared" si="47"/>
        <v>89173437.038030326</v>
      </c>
      <c r="AG56" s="38">
        <f>IFERROR(s_RadSpec!$G$20*AG20,".")*$B$56</f>
        <v>0</v>
      </c>
      <c r="AH56" s="38">
        <f>IFERROR(s_RadSpec!$J$20*AH20,".")*$B$56</f>
        <v>5.6070508955123276E-13</v>
      </c>
      <c r="AI56" s="47">
        <f t="shared" si="48"/>
        <v>0</v>
      </c>
      <c r="AJ56" s="47">
        <f t="shared" si="48"/>
        <v>5.6070508955123276E-13</v>
      </c>
      <c r="AK56" s="47">
        <f t="shared" si="49"/>
        <v>5.6070508955123276E-13</v>
      </c>
    </row>
    <row r="57" spans="1:37" x14ac:dyDescent="0.25">
      <c r="A57" s="29" t="s">
        <v>313</v>
      </c>
      <c r="B57" s="24">
        <v>2.0999995799999999E-4</v>
      </c>
      <c r="C57" s="109"/>
      <c r="D57" s="30">
        <f>IFERROR(D29/$B57,0)</f>
        <v>0</v>
      </c>
      <c r="E57" s="30">
        <f>IFERROR(E29/$B57,0)</f>
        <v>0</v>
      </c>
      <c r="F57" s="30">
        <f>IFERROR(F29/$B57,0)</f>
        <v>50155.775856986278</v>
      </c>
      <c r="G57" s="30">
        <f t="shared" si="20"/>
        <v>50155.775856986278</v>
      </c>
      <c r="H57" s="38">
        <f>IFERROR(s_RadSpec!$I$29*H29,".")*$B$57</f>
        <v>0</v>
      </c>
      <c r="I57" s="38">
        <f>IFERROR(s_RadSpec!$G$29*I29,".")*$B$57</f>
        <v>0</v>
      </c>
      <c r="J57" s="38">
        <f>IFERROR(s_RadSpec!$F$29*J29,".")*$B$57</f>
        <v>9.9689415916064306E-10</v>
      </c>
      <c r="K57" s="47">
        <f t="shared" si="43"/>
        <v>0</v>
      </c>
      <c r="L57" s="47">
        <f t="shared" si="43"/>
        <v>0</v>
      </c>
      <c r="M57" s="47">
        <f t="shared" si="43"/>
        <v>9.9689415916064306E-10</v>
      </c>
      <c r="N57" s="47">
        <f t="shared" si="44"/>
        <v>9.9689415916064306E-10</v>
      </c>
      <c r="O57" s="30">
        <f t="shared" ref="O57:AE57" si="57">IFERROR(O29/$B57,0)</f>
        <v>50155.775856986278</v>
      </c>
      <c r="P57" s="30">
        <f t="shared" si="57"/>
        <v>540868.15517507214</v>
      </c>
      <c r="Q57" s="30">
        <f t="shared" si="57"/>
        <v>134505.29938105785</v>
      </c>
      <c r="R57" s="30">
        <f t="shared" si="57"/>
        <v>71482.471592213566</v>
      </c>
      <c r="S57" s="30">
        <f t="shared" si="57"/>
        <v>1003285.7791257967</v>
      </c>
      <c r="T57" s="38">
        <f>IFERROR(s_RadSpec!$F$29*T29,".")*$B$57</f>
        <v>9.9689415916064306E-10</v>
      </c>
      <c r="U57" s="38">
        <f>IFERROR(s_RadSpec!$M$29*U29,".")*$B$57</f>
        <v>9.2443970904176533E-11</v>
      </c>
      <c r="V57" s="38">
        <f>IFERROR(s_RadSpec!$N$29*V29,".")*$B$57</f>
        <v>3.7173256540880524E-10</v>
      </c>
      <c r="W57" s="38">
        <f>IFERROR(s_RadSpec!$O$29*W29,".")*$B$57</f>
        <v>6.9947217669298398E-10</v>
      </c>
      <c r="X57" s="38">
        <f>IFERROR(s_RadSpec!$K$29*X29,".")*$B$57</f>
        <v>4.9836249093022152E-11</v>
      </c>
      <c r="Y57" s="47">
        <f t="shared" si="46"/>
        <v>9.9689415916064306E-10</v>
      </c>
      <c r="Z57" s="47">
        <f t="shared" si="46"/>
        <v>9.2443970904176533E-11</v>
      </c>
      <c r="AA57" s="47">
        <f t="shared" si="46"/>
        <v>3.7173256540880524E-10</v>
      </c>
      <c r="AB57" s="47">
        <f t="shared" si="46"/>
        <v>6.9947217669298398E-10</v>
      </c>
      <c r="AC57" s="47">
        <f t="shared" si="46"/>
        <v>4.9836249093022152E-11</v>
      </c>
      <c r="AD57" s="30">
        <f t="shared" si="57"/>
        <v>0</v>
      </c>
      <c r="AE57" s="30">
        <f t="shared" si="57"/>
        <v>12255771.296490857</v>
      </c>
      <c r="AF57" s="30">
        <f t="shared" si="47"/>
        <v>12255771.296490857</v>
      </c>
      <c r="AG57" s="38">
        <f>IFERROR(s_RadSpec!$G$29*AG29,".")*$B$57</f>
        <v>0</v>
      </c>
      <c r="AH57" s="38">
        <f>IFERROR(s_RadSpec!$J$29*AH29,".")*$B$57</f>
        <v>4.0797105943316913E-12</v>
      </c>
      <c r="AI57" s="47">
        <f t="shared" si="48"/>
        <v>0</v>
      </c>
      <c r="AJ57" s="47">
        <f t="shared" si="48"/>
        <v>4.0797105943316913E-12</v>
      </c>
      <c r="AK57" s="47">
        <f t="shared" si="49"/>
        <v>4.0797105943316913E-12</v>
      </c>
    </row>
    <row r="58" spans="1:37" x14ac:dyDescent="0.25">
      <c r="A58" s="29" t="s">
        <v>314</v>
      </c>
      <c r="B58" s="24">
        <v>1</v>
      </c>
      <c r="C58" s="109"/>
      <c r="D58" s="30">
        <f>IFERROR(D16/$B58,0)</f>
        <v>606.6672733339401</v>
      </c>
      <c r="E58" s="30">
        <f>IFERROR(E16/$B58,0)</f>
        <v>28428.879509083727</v>
      </c>
      <c r="F58" s="30">
        <f>IFERROR(F16/$B58,0)</f>
        <v>2579238396.942708</v>
      </c>
      <c r="G58" s="30">
        <f t="shared" si="20"/>
        <v>593.99146064134425</v>
      </c>
      <c r="H58" s="38">
        <f>IFERROR(s_RadSpec!$I$16*H16,".")*$B$58</f>
        <v>8.2417500000000003E-8</v>
      </c>
      <c r="I58" s="38">
        <f>IFERROR(s_RadSpec!$G$16*I16,".")*$B$58</f>
        <v>1.7587749100003667E-9</v>
      </c>
      <c r="J58" s="38">
        <f>IFERROR(s_RadSpec!$F$16*J16,".")*$B$58</f>
        <v>1.9385567483512712E-14</v>
      </c>
      <c r="K58" s="47">
        <f t="shared" si="43"/>
        <v>8.2417500000000003E-8</v>
      </c>
      <c r="L58" s="47">
        <f t="shared" si="43"/>
        <v>1.7587749100003667E-9</v>
      </c>
      <c r="M58" s="47">
        <f t="shared" si="43"/>
        <v>1.9385567483512712E-14</v>
      </c>
      <c r="N58" s="47">
        <f t="shared" si="44"/>
        <v>8.4176294295567852E-8</v>
      </c>
      <c r="O58" s="30">
        <f t="shared" ref="O58:AE58" si="58">IFERROR(O16/$B58,0)</f>
        <v>2579238396.942708</v>
      </c>
      <c r="P58" s="30">
        <f t="shared" si="58"/>
        <v>7149251915.5073071</v>
      </c>
      <c r="Q58" s="30">
        <f t="shared" si="58"/>
        <v>2790278935.7777948</v>
      </c>
      <c r="R58" s="30">
        <f t="shared" si="58"/>
        <v>2773778206.345232</v>
      </c>
      <c r="S58" s="30">
        <f t="shared" si="58"/>
        <v>92793678400.405716</v>
      </c>
      <c r="T58" s="38">
        <f>IFERROR(s_RadSpec!$F$16*T16,".")*$B$58</f>
        <v>1.9385567483512712E-14</v>
      </c>
      <c r="U58" s="38">
        <f>IFERROR(s_RadSpec!$M$16*U16,".")*$B$58</f>
        <v>6.9937387283200846E-15</v>
      </c>
      <c r="V58" s="38">
        <f>IFERROR(s_RadSpec!$N$16*V16,".")*$B$58</f>
        <v>1.7919355430342462E-14</v>
      </c>
      <c r="W58" s="38">
        <f>IFERROR(s_RadSpec!$O$16*W16,".")*$B$58</f>
        <v>1.802595459349314E-14</v>
      </c>
      <c r="X58" s="38">
        <f>IFERROR(s_RadSpec!$K$16*X16,".")*$B$58</f>
        <v>5.3882980890410956E-16</v>
      </c>
      <c r="Y58" s="47">
        <f t="shared" si="46"/>
        <v>1.9385567483512712E-14</v>
      </c>
      <c r="Z58" s="47">
        <f t="shared" si="46"/>
        <v>6.9937387283200846E-15</v>
      </c>
      <c r="AA58" s="47">
        <f t="shared" si="46"/>
        <v>1.7919355430342462E-14</v>
      </c>
      <c r="AB58" s="47">
        <f t="shared" si="46"/>
        <v>1.802595459349314E-14</v>
      </c>
      <c r="AC58" s="47">
        <f t="shared" si="46"/>
        <v>5.3882980890410956E-16</v>
      </c>
      <c r="AD58" s="30">
        <f t="shared" si="58"/>
        <v>9.1636455272818912E-2</v>
      </c>
      <c r="AE58" s="30">
        <f t="shared" si="58"/>
        <v>8095353.5459107636</v>
      </c>
      <c r="AF58" s="30">
        <f t="shared" si="47"/>
        <v>9.1636454235527603E-2</v>
      </c>
      <c r="AG58" s="38">
        <f>IFERROR(s_RadSpec!$G$16*AG16,".")*$B$58</f>
        <v>5.4563437499999994E-4</v>
      </c>
      <c r="AH58" s="38">
        <f>IFERROR(s_RadSpec!$J$16*AH16,".")*$B$58</f>
        <v>6.1763825034246576E-12</v>
      </c>
      <c r="AI58" s="47">
        <f t="shared" si="48"/>
        <v>5.4563437499999994E-4</v>
      </c>
      <c r="AJ58" s="47">
        <f t="shared" si="48"/>
        <v>6.1763825034246576E-12</v>
      </c>
      <c r="AK58" s="47">
        <f t="shared" si="49"/>
        <v>5.4563438117638248E-4</v>
      </c>
    </row>
    <row r="59" spans="1:37" x14ac:dyDescent="0.25">
      <c r="A59" s="29" t="s">
        <v>315</v>
      </c>
      <c r="B59" s="24">
        <v>1</v>
      </c>
      <c r="C59" s="109"/>
      <c r="D59" s="30">
        <f>IFERROR(D7/$B59,0)</f>
        <v>97307.028000097314</v>
      </c>
      <c r="E59" s="30">
        <f>IFERROR(E7/$B59,0)</f>
        <v>991543.84629243263</v>
      </c>
      <c r="F59" s="30">
        <f>IFERROR(F7/$B59,0)</f>
        <v>165944.89932919262</v>
      </c>
      <c r="G59" s="30">
        <f t="shared" si="20"/>
        <v>57765.486871481844</v>
      </c>
      <c r="H59" s="38">
        <f>IFERROR(s_RadSpec!$I$7*H7,".")*$B$59</f>
        <v>5.1383749999999998E-10</v>
      </c>
      <c r="I59" s="38">
        <f>IFERROR(s_RadSpec!$G$7*I7,".")*$B$59</f>
        <v>5.0426413503507021E-11</v>
      </c>
      <c r="J59" s="38">
        <f>IFERROR(s_RadSpec!$F$7*J7,".")*$B$59</f>
        <v>3.0130483191780842E-10</v>
      </c>
      <c r="K59" s="47">
        <f t="shared" si="43"/>
        <v>5.1383749999999998E-10</v>
      </c>
      <c r="L59" s="47">
        <f t="shared" si="43"/>
        <v>5.0426413503507021E-11</v>
      </c>
      <c r="M59" s="47">
        <f t="shared" si="43"/>
        <v>3.0130483191780842E-10</v>
      </c>
      <c r="N59" s="47">
        <f t="shared" si="44"/>
        <v>8.6556874542131538E-10</v>
      </c>
      <c r="O59" s="30">
        <f t="shared" ref="O59:AE59" si="59">IFERROR(O7/$B59,0)</f>
        <v>165944.89932919262</v>
      </c>
      <c r="P59" s="30">
        <f t="shared" si="59"/>
        <v>765258.1002249415</v>
      </c>
      <c r="Q59" s="30">
        <f t="shared" si="59"/>
        <v>260447.30986862781</v>
      </c>
      <c r="R59" s="30">
        <f t="shared" si="59"/>
        <v>183335.43435043469</v>
      </c>
      <c r="S59" s="30">
        <f t="shared" si="59"/>
        <v>259255.42796089043</v>
      </c>
      <c r="T59" s="38">
        <f>IFERROR(s_RadSpec!$F$7*T7,".")*$B$59</f>
        <v>3.0130483191780842E-10</v>
      </c>
      <c r="U59" s="38">
        <f>IFERROR(s_RadSpec!$M$7*U7,".")*$B$59</f>
        <v>6.5337433194503794E-11</v>
      </c>
      <c r="V59" s="38">
        <f>IFERROR(s_RadSpec!$N$7*V7,".")*$B$59</f>
        <v>1.9197741003821656E-10</v>
      </c>
      <c r="W59" s="38">
        <f>IFERROR(s_RadSpec!$O$7*W7,".")*$B$59</f>
        <v>2.7272414728310516E-10</v>
      </c>
      <c r="X59" s="38">
        <f>IFERROR(s_RadSpec!$K$7*X7,".")*$B$59</f>
        <v>1.9285999291610849E-10</v>
      </c>
      <c r="Y59" s="47">
        <f t="shared" si="46"/>
        <v>3.0130483191780842E-10</v>
      </c>
      <c r="Z59" s="47">
        <f t="shared" si="46"/>
        <v>6.5337433194503794E-11</v>
      </c>
      <c r="AA59" s="47">
        <f t="shared" si="46"/>
        <v>1.9197741003821656E-10</v>
      </c>
      <c r="AB59" s="47">
        <f t="shared" si="46"/>
        <v>2.7272414728310516E-10</v>
      </c>
      <c r="AC59" s="47">
        <f t="shared" si="46"/>
        <v>1.9285999291610849E-10</v>
      </c>
      <c r="AD59" s="30">
        <f t="shared" si="59"/>
        <v>3.1961007570763673</v>
      </c>
      <c r="AE59" s="30">
        <f t="shared" si="59"/>
        <v>6022371.1809534831</v>
      </c>
      <c r="AF59" s="30">
        <f t="shared" si="47"/>
        <v>3.1960990608915387</v>
      </c>
      <c r="AG59" s="38">
        <f>IFERROR(s_RadSpec!$G$7*AG7,".")*$B$59</f>
        <v>1.5644062499999999E-5</v>
      </c>
      <c r="AH59" s="38">
        <f>IFERROR(s_RadSpec!$J$7*AH7,".")*$B$59</f>
        <v>8.3023776678082202E-12</v>
      </c>
      <c r="AI59" s="47">
        <f t="shared" si="48"/>
        <v>1.5644062499999999E-5</v>
      </c>
      <c r="AJ59" s="47">
        <f t="shared" si="48"/>
        <v>8.3023776678082202E-12</v>
      </c>
      <c r="AK59" s="47">
        <f t="shared" si="49"/>
        <v>1.5644070802377668E-5</v>
      </c>
    </row>
    <row r="60" spans="1:37" x14ac:dyDescent="0.25">
      <c r="A60" s="29" t="s">
        <v>316</v>
      </c>
      <c r="B60" s="33">
        <v>1.9000000000000001E-8</v>
      </c>
      <c r="C60" s="109"/>
      <c r="D60" s="30">
        <f>IFERROR(D12/$B60,0)</f>
        <v>0</v>
      </c>
      <c r="E60" s="30">
        <f>IFERROR(E12/$B60,0)</f>
        <v>0</v>
      </c>
      <c r="F60" s="30">
        <f>IFERROR(F12/$B60,0)</f>
        <v>38805260470.627167</v>
      </c>
      <c r="G60" s="30">
        <f t="shared" si="20"/>
        <v>38805260470.627167</v>
      </c>
      <c r="H60" s="38">
        <f>IFERROR(s_RadSpec!$I$12*H12,".")*$B$60</f>
        <v>0</v>
      </c>
      <c r="I60" s="38">
        <f>IFERROR(s_RadSpec!$G$12*I12,".")*$B$60</f>
        <v>0</v>
      </c>
      <c r="J60" s="38">
        <f>IFERROR(s_RadSpec!$F$12*J12,".")*$B$60</f>
        <v>1.2884851021125463E-15</v>
      </c>
      <c r="K60" s="47">
        <f t="shared" si="43"/>
        <v>0</v>
      </c>
      <c r="L60" s="47">
        <f t="shared" si="43"/>
        <v>0</v>
      </c>
      <c r="M60" s="47">
        <f t="shared" si="43"/>
        <v>1.2884851021125463E-15</v>
      </c>
      <c r="N60" s="47">
        <f t="shared" si="44"/>
        <v>1.2884851021125463E-15</v>
      </c>
      <c r="O60" s="30">
        <f t="shared" ref="O60:AE60" si="60">IFERROR(O12/$B60,0)</f>
        <v>38805260470.627167</v>
      </c>
      <c r="P60" s="30">
        <f t="shared" si="60"/>
        <v>306359674914.80096</v>
      </c>
      <c r="Q60" s="30">
        <f t="shared" si="60"/>
        <v>79644460970.097534</v>
      </c>
      <c r="R60" s="30">
        <f t="shared" si="60"/>
        <v>47691143836.751991</v>
      </c>
      <c r="S60" s="30">
        <f t="shared" si="60"/>
        <v>519900785736.20032</v>
      </c>
      <c r="T60" s="38">
        <f>IFERROR(s_RadSpec!$F$12*T12,".")*$B$60</f>
        <v>1.2884851021125463E-15</v>
      </c>
      <c r="U60" s="38">
        <f>IFERROR(s_RadSpec!$M$12*U12,".")*$B$60</f>
        <v>1.6320685812813022E-16</v>
      </c>
      <c r="V60" s="38">
        <f>IFERROR(s_RadSpec!$N$12*V12,".")*$B$60</f>
        <v>6.2779004830947974E-16</v>
      </c>
      <c r="W60" s="38">
        <f>IFERROR(s_RadSpec!$O$12*W12,".")*$B$60</f>
        <v>1.0484126816322815E-15</v>
      </c>
      <c r="X60" s="38">
        <f>IFERROR(s_RadSpec!$K$12*X12,".")*$B$60</f>
        <v>9.6172195487640992E-17</v>
      </c>
      <c r="Y60" s="47">
        <f t="shared" si="46"/>
        <v>1.2884851021125463E-15</v>
      </c>
      <c r="Z60" s="47">
        <f t="shared" si="46"/>
        <v>1.6320685812813022E-16</v>
      </c>
      <c r="AA60" s="47">
        <f t="shared" si="46"/>
        <v>6.2779004830947974E-16</v>
      </c>
      <c r="AB60" s="47">
        <f t="shared" si="46"/>
        <v>1.0484126816322815E-15</v>
      </c>
      <c r="AC60" s="47">
        <f t="shared" si="46"/>
        <v>9.6172195487640992E-17</v>
      </c>
      <c r="AD60" s="30">
        <f t="shared" si="60"/>
        <v>0</v>
      </c>
      <c r="AE60" s="30">
        <f t="shared" si="60"/>
        <v>3378494297178.8574</v>
      </c>
      <c r="AF60" s="30">
        <f t="shared" si="47"/>
        <v>3378494297178.8574</v>
      </c>
      <c r="AG60" s="38">
        <f>IFERROR(s_RadSpec!$G$12*AG12,".")*$B$60</f>
        <v>0</v>
      </c>
      <c r="AH60" s="38">
        <f>IFERROR(s_RadSpec!$J$12*AH12,".")*$B$60</f>
        <v>1.4799492200342468E-17</v>
      </c>
      <c r="AI60" s="47">
        <f t="shared" si="48"/>
        <v>0</v>
      </c>
      <c r="AJ60" s="47">
        <f t="shared" si="48"/>
        <v>1.4799492200342468E-17</v>
      </c>
      <c r="AK60" s="47">
        <f t="shared" si="49"/>
        <v>1.4799492200342468E-17</v>
      </c>
    </row>
    <row r="61" spans="1:37" x14ac:dyDescent="0.25">
      <c r="A61" s="29" t="s">
        <v>317</v>
      </c>
      <c r="B61" s="24">
        <v>1</v>
      </c>
      <c r="C61" s="109"/>
      <c r="D61" s="30">
        <f>IFERROR(D18/$B61,0)</f>
        <v>253.29922237138732</v>
      </c>
      <c r="E61" s="30">
        <f>IFERROR(E18/$B61,0)</f>
        <v>31112.217626012549</v>
      </c>
      <c r="F61" s="30">
        <f>IFERROR(F18/$B61,0)</f>
        <v>3973669.4583399002</v>
      </c>
      <c r="G61" s="30">
        <f t="shared" si="20"/>
        <v>251.23776237258681</v>
      </c>
      <c r="H61" s="38">
        <f>IFERROR(s_RadSpec!$I$18*H18,".")*$B$61</f>
        <v>1.97395E-7</v>
      </c>
      <c r="I61" s="38">
        <f>IFERROR(s_RadSpec!$G$18*I18,".")*$B$61</f>
        <v>1.6070856986483537E-9</v>
      </c>
      <c r="J61" s="38">
        <f>IFERROR(s_RadSpec!$F$18*J18,".")*$B$61</f>
        <v>1.2582828170335222E-11</v>
      </c>
      <c r="K61" s="47">
        <f t="shared" si="43"/>
        <v>1.97395E-7</v>
      </c>
      <c r="L61" s="47">
        <f t="shared" si="43"/>
        <v>1.6070856986483537E-9</v>
      </c>
      <c r="M61" s="47">
        <f t="shared" si="43"/>
        <v>1.2582828170335222E-11</v>
      </c>
      <c r="N61" s="47">
        <f t="shared" si="44"/>
        <v>1.9901466852681868E-7</v>
      </c>
      <c r="O61" s="30">
        <f t="shared" ref="O61:AE61" si="61">IFERROR(O18/$B61,0)</f>
        <v>3973669.4583399002</v>
      </c>
      <c r="P61" s="30">
        <f t="shared" si="61"/>
        <v>39600952.955493495</v>
      </c>
      <c r="Q61" s="30">
        <f t="shared" si="61"/>
        <v>9767504.56023206</v>
      </c>
      <c r="R61" s="30">
        <f t="shared" si="61"/>
        <v>5194512.4937339183</v>
      </c>
      <c r="S61" s="30">
        <f t="shared" si="61"/>
        <v>69247941.212073535</v>
      </c>
      <c r="T61" s="38">
        <f>IFERROR(s_RadSpec!$F$18*T18,".")*$B$61</f>
        <v>1.2582828170335222E-11</v>
      </c>
      <c r="U61" s="38">
        <f>IFERROR(s_RadSpec!$M$18*U18,".")*$B$61</f>
        <v>1.2625958788464952E-12</v>
      </c>
      <c r="V61" s="38">
        <f>IFERROR(s_RadSpec!$N$18*V18,".")*$B$61</f>
        <v>5.1190147587514496E-12</v>
      </c>
      <c r="W61" s="38">
        <f>IFERROR(s_RadSpec!$O$18*W18,".")*$B$61</f>
        <v>9.6255423507623571E-12</v>
      </c>
      <c r="X61" s="38">
        <f>IFERROR(s_RadSpec!$K$18*X18,".")*$B$61</f>
        <v>7.2204312684002804E-13</v>
      </c>
      <c r="Y61" s="47">
        <f t="shared" si="46"/>
        <v>1.2582828170335222E-11</v>
      </c>
      <c r="Z61" s="47">
        <f t="shared" si="46"/>
        <v>1.2625958788464952E-12</v>
      </c>
      <c r="AA61" s="47">
        <f t="shared" si="46"/>
        <v>5.1190147587514496E-12</v>
      </c>
      <c r="AB61" s="47">
        <f t="shared" si="46"/>
        <v>9.6255423507623571E-12</v>
      </c>
      <c r="AC61" s="47">
        <f t="shared" si="46"/>
        <v>7.2204312684002804E-13</v>
      </c>
      <c r="AD61" s="30">
        <f t="shared" si="61"/>
        <v>0.10028581457152887</v>
      </c>
      <c r="AE61" s="30">
        <f t="shared" si="61"/>
        <v>762048643.84690726</v>
      </c>
      <c r="AF61" s="30">
        <f t="shared" si="47"/>
        <v>0.10028581455833123</v>
      </c>
      <c r="AG61" s="38">
        <f>IFERROR(s_RadSpec!$G$18*AG18,".")*$B$61</f>
        <v>4.9857500000000002E-4</v>
      </c>
      <c r="AH61" s="38">
        <f>IFERROR(s_RadSpec!$J$18*AH18,".")*$B$61</f>
        <v>6.5612609383561654E-14</v>
      </c>
      <c r="AI61" s="47">
        <f t="shared" si="48"/>
        <v>4.9857500000000002E-4</v>
      </c>
      <c r="AJ61" s="47">
        <f t="shared" si="48"/>
        <v>6.5612609383561654E-14</v>
      </c>
      <c r="AK61" s="47">
        <f t="shared" si="49"/>
        <v>4.9857500006561268E-4</v>
      </c>
    </row>
    <row r="62" spans="1:37" x14ac:dyDescent="0.25">
      <c r="A62" s="29" t="s">
        <v>318</v>
      </c>
      <c r="B62" s="24">
        <v>1.339E-6</v>
      </c>
      <c r="C62" s="109"/>
      <c r="D62" s="30">
        <f>IFERROR(D27/$B62,0)</f>
        <v>0</v>
      </c>
      <c r="E62" s="30">
        <f>IFERROR(E27/$B62,0)</f>
        <v>0</v>
      </c>
      <c r="F62" s="30">
        <f>IFERROR(F27/$B62,0)</f>
        <v>35944882822.813713</v>
      </c>
      <c r="G62" s="30">
        <f t="shared" ref="G62" si="62">IFERROR(SUM(D62:F62),0)</f>
        <v>35944882822.813713</v>
      </c>
      <c r="H62" s="38">
        <f>IFERROR(s_RadSpec!$I$27*H27,".")*$B$62</f>
        <v>0</v>
      </c>
      <c r="I62" s="38">
        <f>IFERROR(s_RadSpec!$G$27*I27,".")*$B$62</f>
        <v>0</v>
      </c>
      <c r="J62" s="38">
        <f>IFERROR(s_RadSpec!$F$27*J27,".")*$B$62</f>
        <v>1.3910185838265054E-15</v>
      </c>
      <c r="K62" s="47">
        <f t="shared" si="43"/>
        <v>0</v>
      </c>
      <c r="L62" s="47">
        <f t="shared" si="43"/>
        <v>0</v>
      </c>
      <c r="M62" s="47">
        <f t="shared" si="43"/>
        <v>1.3910185838265054E-15</v>
      </c>
      <c r="N62" s="47">
        <f t="shared" si="44"/>
        <v>1.3910185838265054E-15</v>
      </c>
      <c r="O62" s="30">
        <f t="shared" ref="O62:AE62" si="63">IFERROR(O27/$B62,0)</f>
        <v>35944882822.813713</v>
      </c>
      <c r="P62" s="30">
        <f t="shared" si="63"/>
        <v>313972727259.03424</v>
      </c>
      <c r="Q62" s="30">
        <f t="shared" si="63"/>
        <v>90535029444.361023</v>
      </c>
      <c r="R62" s="30">
        <f t="shared" si="63"/>
        <v>49539868604.334976</v>
      </c>
      <c r="S62" s="30">
        <f t="shared" si="63"/>
        <v>237631020560.33276</v>
      </c>
      <c r="T62" s="38">
        <f>IFERROR(s_RadSpec!$F$27*T27,".")*$B$62</f>
        <v>1.3910185838265054E-15</v>
      </c>
      <c r="U62" s="38">
        <f>IFERROR(s_RadSpec!$M$27*U27,".")*$B$62</f>
        <v>1.5924950054260266E-16</v>
      </c>
      <c r="V62" s="38">
        <f>IFERROR(s_RadSpec!$N$27*V27,".")*$B$62</f>
        <v>5.5227242214272308E-16</v>
      </c>
      <c r="W62" s="38">
        <f>IFERROR(s_RadSpec!$O$27*W27,".")*$B$62</f>
        <v>1.0092881028680155E-15</v>
      </c>
      <c r="X62" s="38">
        <f>IFERROR(s_RadSpec!$K$27*X27,".")*$B$62</f>
        <v>2.1041023971575873E-16</v>
      </c>
      <c r="Y62" s="47">
        <f t="shared" si="46"/>
        <v>1.3910185838265054E-15</v>
      </c>
      <c r="Z62" s="47">
        <f t="shared" si="46"/>
        <v>1.5924950054260266E-16</v>
      </c>
      <c r="AA62" s="47">
        <f t="shared" si="46"/>
        <v>5.5227242214272308E-16</v>
      </c>
      <c r="AB62" s="47">
        <f t="shared" si="46"/>
        <v>1.0092881028680155E-15</v>
      </c>
      <c r="AC62" s="47">
        <f t="shared" si="46"/>
        <v>2.1041023971575873E-16</v>
      </c>
      <c r="AD62" s="30">
        <f t="shared" si="63"/>
        <v>0</v>
      </c>
      <c r="AE62" s="30">
        <f t="shared" si="63"/>
        <v>2530983207985.8687</v>
      </c>
      <c r="AF62" s="30">
        <f t="shared" si="47"/>
        <v>2530983207985.8687</v>
      </c>
      <c r="AG62" s="38">
        <f>IFERROR(s_RadSpec!$G$27*AG27,".")*$B$62</f>
        <v>0</v>
      </c>
      <c r="AH62" s="38">
        <f>IFERROR(s_RadSpec!$J$27*AH27,".")*$B$62</f>
        <v>1.9755168600976031E-17</v>
      </c>
      <c r="AI62" s="47">
        <f t="shared" si="48"/>
        <v>0</v>
      </c>
      <c r="AJ62" s="47">
        <f t="shared" si="48"/>
        <v>1.9755168600976031E-17</v>
      </c>
      <c r="AK62" s="47">
        <f t="shared" si="49"/>
        <v>1.9755168600976031E-17</v>
      </c>
    </row>
    <row r="63" spans="1:37" x14ac:dyDescent="0.25">
      <c r="A63" s="26" t="s">
        <v>35</v>
      </c>
      <c r="B63" s="26" t="s">
        <v>289</v>
      </c>
      <c r="C63" s="110"/>
      <c r="D63" s="27">
        <f>1/SUM(1/D66,1/D68,1/D72,1/D73,1/D75)</f>
        <v>178.33138104199978</v>
      </c>
      <c r="E63" s="27">
        <f>1/SUM(1/E64,1/E65,1/E66,1/E68,1/E72,1/E73,1/E75)</f>
        <v>14562.25102040405</v>
      </c>
      <c r="F63" s="27">
        <f>1/SUM(1/F64,1/F66,1/F68,1/F69,1/F70,1/F71,1/F72,1/F73,1/F74,1/F75,1/F76)</f>
        <v>16.848969669316666</v>
      </c>
      <c r="G63" s="28">
        <f>1/SUM(1/G64,1/G65,1/G66,1/G68,1/G69,1/G70,1/G71,1/G72,1/G73,1/G74,1/G75,1/G76)</f>
        <v>15.378223042543706</v>
      </c>
      <c r="H63" s="45"/>
      <c r="I63" s="45"/>
      <c r="J63" s="45"/>
      <c r="K63" s="46">
        <f>IFERROR(IF(SUM(H64:H76)&gt;0.01,1-EXP(-SUM(H64:H76)),SUM(H64:H76)),".")</f>
        <v>2.8037690118165035E-7</v>
      </c>
      <c r="L63" s="46">
        <f>IFERROR(IF(SUM(I64:I76)&gt;0.01,1-EXP(-SUM(I64:I76)),SUM(I64:I76)),".")</f>
        <v>3.4335350990682673E-9</v>
      </c>
      <c r="M63" s="46">
        <f>IFERROR(IF(SUM(J64:J76)&gt;0.01,1-EXP(-SUM(J64:J76)),SUM(J64:J76)),".")</f>
        <v>2.9675405073020016E-6</v>
      </c>
      <c r="N63" s="46">
        <f>IFERROR(IF(SUM(H64:J76)&gt;0.01,1-EXP(-SUM(H64:J76)),SUM(H64:J76)),".")</f>
        <v>3.2513509435827205E-6</v>
      </c>
      <c r="O63" s="27">
        <f t="shared" ref="O63:S63" si="64">1/SUM(1/O64,1/O66,1/O68,1/O69,1/O70,1/O71,1/O72,1/O73,1/O74,1/O75,1/O76)</f>
        <v>16.848969669316666</v>
      </c>
      <c r="P63" s="27">
        <f t="shared" si="64"/>
        <v>186.80480107653145</v>
      </c>
      <c r="Q63" s="27">
        <f t="shared" si="64"/>
        <v>46.049460612148678</v>
      </c>
      <c r="R63" s="27">
        <f t="shared" si="64"/>
        <v>23.779834925844284</v>
      </c>
      <c r="S63" s="27">
        <f t="shared" si="64"/>
        <v>342.71467781830381</v>
      </c>
      <c r="T63" s="45"/>
      <c r="U63" s="45"/>
      <c r="V63" s="45"/>
      <c r="W63" s="45"/>
      <c r="X63" s="45"/>
      <c r="Y63" s="46">
        <f>IFERROR(IF(SUM(T64:T76)&gt;0.01,1-EXP(-SUM(T64:T76)),SUM(T64:T76)),".")</f>
        <v>2.9675405073020016E-6</v>
      </c>
      <c r="Z63" s="46">
        <f t="shared" ref="Z63:AC63" si="65">IFERROR(IF(SUM(U64:U76)&gt;0.01,1-EXP(-SUM(U64:U76)),SUM(U64:U76)),".")</f>
        <v>2.6765907359905418E-7</v>
      </c>
      <c r="AA63" s="46">
        <f t="shared" si="65"/>
        <v>1.0857890480221856E-6</v>
      </c>
      <c r="AB63" s="46">
        <f t="shared" si="65"/>
        <v>2.1026218287856667E-6</v>
      </c>
      <c r="AC63" s="46">
        <f t="shared" si="65"/>
        <v>1.458939556318285E-7</v>
      </c>
      <c r="AD63" s="27">
        <f>1/SUM(1/AD64,1/AD65,1/AD66,1/AD68,1/AD72,1/AD73,1/AD75)</f>
        <v>4.6939347851414022E-2</v>
      </c>
      <c r="AE63" s="27">
        <f t="shared" ref="AE63:AF63" si="66">1/SUM(1/AE64,1/AE65,1/AE66,1/AE67,1/AE68,1/AE69,1/AE70,1/AE71,1/AE72,1/AE73,1/AE74,1/AE75,1/AE76)</f>
        <v>4124.3617233116993</v>
      </c>
      <c r="AF63" s="28">
        <f t="shared" si="66"/>
        <v>4.693881364092304E-2</v>
      </c>
      <c r="AG63" s="45"/>
      <c r="AH63" s="45"/>
      <c r="AI63" s="46">
        <f>IFERROR(IF(SUM(AG64:AG76)&gt;0.01,1-EXP(-SUM(AG64:AG76)),SUM(AG64:AG76)),".")</f>
        <v>1.0652044028876249E-3</v>
      </c>
      <c r="AJ63" s="46">
        <f>IFERROR(IF(SUM(AH64:AH76)&gt;0.01,1-EXP(-SUM(AH64:AH76)),SUM(AH64:AH76)),".")</f>
        <v>1.2123087971986121E-8</v>
      </c>
      <c r="AK63" s="46">
        <f>IFERROR(IF(SUM(AG64:AH76)&gt;0.01,1-EXP(-SUM(AG64:AH76)),SUM(AG64:AH76)),".")</f>
        <v>1.065216525975597E-3</v>
      </c>
    </row>
    <row r="64" spans="1:37" x14ac:dyDescent="0.25">
      <c r="A64" s="29" t="s">
        <v>306</v>
      </c>
      <c r="B64" s="34">
        <v>1</v>
      </c>
      <c r="C64" s="2"/>
      <c r="D64" s="30">
        <f>IFERROR(D25/$B50,0)</f>
        <v>0</v>
      </c>
      <c r="E64" s="30">
        <f>IFERROR(E25/$B50,0)</f>
        <v>197917370.37179211</v>
      </c>
      <c r="F64" s="30">
        <f>IFERROR(F25/$B50,0)</f>
        <v>151122.2348689615</v>
      </c>
      <c r="G64" s="30">
        <f t="shared" ref="G64:G76" si="67">IF(AND(D64&lt;&gt;0,E64&lt;&gt;0,F64&lt;&gt;0),1/((1/D64)+(1/E64)+(1/F64)),IF(AND(D64&lt;&gt;0,E64&lt;&gt;0,F64=0), 1/((1/D64)+(1/E64)),IF(AND(D64&lt;&gt;0,E64=0,F64&lt;&gt;0),1/((1/D64)+(1/F64)),IF(AND(D64=0,E64&lt;&gt;0,F64&lt;&gt;0),1/((1/E64)+(1/F64)),IF(AND(D64&lt;&gt;0,E64=0,F64=0),1/((1/D64)),IF(AND(D64=0,E64&lt;&gt;0,F64=0),1/((1/E64)),IF(AND(D64=0,E64=0,F64&lt;&gt;0),1/((1/F64)),IF(AND(D64=0,E64=0,F64=0),0))))))))</f>
        <v>151006.93167474199</v>
      </c>
      <c r="H64" s="38">
        <f>IFERROR(s_RadSpec!$I$25*H25,".")*$B$64</f>
        <v>0</v>
      </c>
      <c r="I64" s="38">
        <f>IFERROR(s_RadSpec!$G$25*I25,".")*$B$64</f>
        <v>2.5263068070313339E-13</v>
      </c>
      <c r="J64" s="38">
        <f>IFERROR(s_RadSpec!$F$25*J25,".")*$B$64</f>
        <v>3.3085799745719175E-10</v>
      </c>
      <c r="K64" s="47">
        <f t="shared" ref="K64:M76" si="68">IFERROR(IF(H64&gt;0.01,1-EXP(-H64),H64),".")</f>
        <v>0</v>
      </c>
      <c r="L64" s="47">
        <f t="shared" si="68"/>
        <v>2.5263068070313339E-13</v>
      </c>
      <c r="M64" s="47">
        <f t="shared" si="68"/>
        <v>3.3085799745719175E-10</v>
      </c>
      <c r="N64" s="47">
        <f t="shared" ref="N64:N76" si="69">IFERROR(IF(SUM(H64:J64)&gt;0.01,1-EXP(-SUM(H64:J64)),SUM(H64:J64)),".")</f>
        <v>3.3111062813789487E-10</v>
      </c>
      <c r="O64" s="30">
        <f t="shared" ref="O64:AE64" si="70">IFERROR(O25/$B50,0)</f>
        <v>151122.2348689615</v>
      </c>
      <c r="P64" s="30">
        <f t="shared" si="70"/>
        <v>1284068.7702228804</v>
      </c>
      <c r="Q64" s="30">
        <f t="shared" si="70"/>
        <v>326390.11626016838</v>
      </c>
      <c r="R64" s="30">
        <f t="shared" si="70"/>
        <v>190419.32978219242</v>
      </c>
      <c r="S64" s="30">
        <f t="shared" si="70"/>
        <v>2345168.5866387296</v>
      </c>
      <c r="T64" s="38">
        <f>IFERROR(s_RadSpec!$F$25*T25,".")*$B$64</f>
        <v>3.3085799745719175E-10</v>
      </c>
      <c r="U64" s="38">
        <f>IFERROR(s_RadSpec!$M$25*U25,".")*$B$64</f>
        <v>3.8938724435546656E-11</v>
      </c>
      <c r="V64" s="38">
        <f>IFERROR(s_RadSpec!$N$25*V25,".")*$B$64</f>
        <v>1.5319091329390804E-10</v>
      </c>
      <c r="W64" s="38">
        <f>IFERROR(s_RadSpec!$O$25*W25,".")*$B$64</f>
        <v>2.6257838454316364E-10</v>
      </c>
      <c r="X64" s="38">
        <f>IFERROR(s_RadSpec!$K$25*X25,".")*$B$64</f>
        <v>2.1320428853118714E-11</v>
      </c>
      <c r="Y64" s="47">
        <f t="shared" ref="Y64:AC76" si="71">IFERROR(IF(T64&gt;0.01,1-EXP(-T64),T64),".")</f>
        <v>3.3085799745719175E-10</v>
      </c>
      <c r="Z64" s="47">
        <f t="shared" si="71"/>
        <v>3.8938724435546656E-11</v>
      </c>
      <c r="AA64" s="47">
        <f t="shared" si="71"/>
        <v>1.5319091329390804E-10</v>
      </c>
      <c r="AB64" s="47">
        <f t="shared" si="71"/>
        <v>2.6257838454316364E-10</v>
      </c>
      <c r="AC64" s="47">
        <f t="shared" si="71"/>
        <v>2.1320428853118714E-11</v>
      </c>
      <c r="AD64" s="30">
        <f t="shared" si="70"/>
        <v>637.95853269537486</v>
      </c>
      <c r="AE64" s="30">
        <f t="shared" si="70"/>
        <v>19626864.352316026</v>
      </c>
      <c r="AF64" s="30">
        <f t="shared" ref="AF64:AF76" si="72">IFERROR(IF(AND(AD64&lt;&gt;0,AE64&lt;&gt;0),1/((1/AD64)+(1/AE64)),IF(AND(AD64&lt;&gt;0,AE64=0),1/((1/AD64)),IF(AND(AD64=0,AE64&lt;&gt;0),1/((1/AE64)),IF(AND(AD64=0,AE64=0),0)))),0)</f>
        <v>637.93779693985209</v>
      </c>
      <c r="AG64" s="38">
        <f>IFERROR(s_RadSpec!$G$25*AG25,".")*$B$64</f>
        <v>7.8374999999999999E-8</v>
      </c>
      <c r="AH64" s="38">
        <f>IFERROR(s_RadSpec!$J$25*AH25,".")*$B$64</f>
        <v>2.5475286883561649E-12</v>
      </c>
      <c r="AI64" s="47">
        <f t="shared" ref="AI64:AJ76" si="73">IFERROR(IF(AG64&gt;0.01,1-EXP(-AG64),AG64),".")</f>
        <v>7.8374999999999999E-8</v>
      </c>
      <c r="AJ64" s="47">
        <f t="shared" si="73"/>
        <v>2.5475286883561649E-12</v>
      </c>
      <c r="AK64" s="47">
        <f t="shared" ref="AK64:AK76" si="74">IFERROR(IF(SUM(AG64:AH64)&gt;0.01,1-EXP(-SUM(AG64:AH64)),SUM(AG64:AH64)),".")</f>
        <v>7.8377547528688359E-8</v>
      </c>
    </row>
    <row r="65" spans="1:37" x14ac:dyDescent="0.25">
      <c r="A65" s="29" t="s">
        <v>307</v>
      </c>
      <c r="B65" s="34">
        <v>1</v>
      </c>
      <c r="C65" s="2"/>
      <c r="D65" s="30">
        <f>IFERROR(D21/$B51,0)</f>
        <v>0</v>
      </c>
      <c r="E65" s="30">
        <f>IFERROR(E21/$B51,0)</f>
        <v>32464144.20486949</v>
      </c>
      <c r="F65" s="30">
        <f>IFERROR(F21/$B51,0)</f>
        <v>0</v>
      </c>
      <c r="G65" s="30">
        <f t="shared" si="67"/>
        <v>32464144.204869494</v>
      </c>
      <c r="H65" s="38">
        <f>IFERROR(s_RadSpec!$I$21*H21,".")*$B$65</f>
        <v>0</v>
      </c>
      <c r="I65" s="38">
        <f>IFERROR(s_RadSpec!$G$21*I21,".")*$B$65</f>
        <v>1.5401607288480501E-12</v>
      </c>
      <c r="J65" s="38">
        <f>IFERROR(s_RadSpec!$F$21*J21,".")*$B$65</f>
        <v>0</v>
      </c>
      <c r="K65" s="47">
        <f t="shared" si="68"/>
        <v>0</v>
      </c>
      <c r="L65" s="47">
        <f t="shared" si="68"/>
        <v>1.5401607288480501E-12</v>
      </c>
      <c r="M65" s="47">
        <f t="shared" si="68"/>
        <v>0</v>
      </c>
      <c r="N65" s="47">
        <f t="shared" si="69"/>
        <v>1.5401607288480501E-12</v>
      </c>
      <c r="O65" s="30">
        <f t="shared" ref="O65:AE65" si="75">IFERROR(O21/$B51,0)</f>
        <v>0</v>
      </c>
      <c r="P65" s="30">
        <f t="shared" si="75"/>
        <v>0</v>
      </c>
      <c r="Q65" s="30">
        <f t="shared" si="75"/>
        <v>0</v>
      </c>
      <c r="R65" s="30">
        <f t="shared" si="75"/>
        <v>0</v>
      </c>
      <c r="S65" s="30">
        <f t="shared" si="75"/>
        <v>0</v>
      </c>
      <c r="T65" s="38">
        <f>IFERROR(s_RadSpec!$F$21*T21,".")*$B$65</f>
        <v>0</v>
      </c>
      <c r="U65" s="38">
        <f>IFERROR(s_RadSpec!$M$21*U21,".")*$B$65</f>
        <v>0</v>
      </c>
      <c r="V65" s="38">
        <f>IFERROR(s_RadSpec!$N$21*V21,".")*$B$65</f>
        <v>0</v>
      </c>
      <c r="W65" s="38">
        <f>IFERROR(s_RadSpec!$O$21*W21,".")*$B$65</f>
        <v>0</v>
      </c>
      <c r="X65" s="38">
        <f>IFERROR(s_RadSpec!$K$21*X21,".")*$B$65</f>
        <v>0</v>
      </c>
      <c r="Y65" s="47">
        <f t="shared" si="71"/>
        <v>0</v>
      </c>
      <c r="Z65" s="47">
        <f t="shared" si="71"/>
        <v>0</v>
      </c>
      <c r="AA65" s="47">
        <f t="shared" si="71"/>
        <v>0</v>
      </c>
      <c r="AB65" s="47">
        <f t="shared" si="71"/>
        <v>0</v>
      </c>
      <c r="AC65" s="47">
        <f t="shared" si="71"/>
        <v>0</v>
      </c>
      <c r="AD65" s="30">
        <f t="shared" si="75"/>
        <v>104.64355788096796</v>
      </c>
      <c r="AE65" s="30">
        <f t="shared" si="75"/>
        <v>807140279577.49329</v>
      </c>
      <c r="AF65" s="30">
        <f t="shared" si="72"/>
        <v>104.64355786740121</v>
      </c>
      <c r="AG65" s="38">
        <f>IFERROR(s_RadSpec!$G$21*AG21,".")*$B$65</f>
        <v>4.7781250000000003E-7</v>
      </c>
      <c r="AH65" s="38">
        <f>IFERROR(s_RadSpec!$J$21*AH21,".")*$B$65</f>
        <v>6.1947100479452062E-17</v>
      </c>
      <c r="AI65" s="47">
        <f t="shared" si="73"/>
        <v>4.7781250000000003E-7</v>
      </c>
      <c r="AJ65" s="47">
        <f t="shared" si="73"/>
        <v>6.1947100479452062E-17</v>
      </c>
      <c r="AK65" s="47">
        <f t="shared" si="74"/>
        <v>4.7781250006194715E-7</v>
      </c>
    </row>
    <row r="66" spans="1:37" x14ac:dyDescent="0.25">
      <c r="A66" s="29" t="s">
        <v>308</v>
      </c>
      <c r="B66" s="35">
        <v>0.99980000000000002</v>
      </c>
      <c r="C66" s="2"/>
      <c r="D66" s="30">
        <f>IFERROR(D17/$B52,0)</f>
        <v>1649324.8025460506</v>
      </c>
      <c r="E66" s="30">
        <f>IFERROR(E17/$B52,0)</f>
        <v>5808775.7119980734</v>
      </c>
      <c r="F66" s="30">
        <f>IFERROR(F17/$B52,0)</f>
        <v>353.95758981883785</v>
      </c>
      <c r="G66" s="30">
        <f t="shared" si="67"/>
        <v>353.8600863104852</v>
      </c>
      <c r="H66" s="38">
        <f>IFERROR(s_RadSpec!$I$17*H17,".")*$B$66</f>
        <v>3.0315435699999997E-11</v>
      </c>
      <c r="I66" s="38">
        <f>IFERROR(s_RadSpec!$G$17*I17,".")*$B$66</f>
        <v>8.6076657937962001E-12</v>
      </c>
      <c r="J66" s="38">
        <f>IFERROR(s_RadSpec!$F$17*J17,".")*$B$66</f>
        <v>1.4125986117599842E-7</v>
      </c>
      <c r="K66" s="47">
        <f t="shared" si="68"/>
        <v>3.0315435699999997E-11</v>
      </c>
      <c r="L66" s="47">
        <f t="shared" si="68"/>
        <v>8.6076657937962001E-12</v>
      </c>
      <c r="M66" s="47">
        <f t="shared" si="68"/>
        <v>1.4125986117599842E-7</v>
      </c>
      <c r="N66" s="47">
        <f t="shared" si="69"/>
        <v>1.4129878427749221E-7</v>
      </c>
      <c r="O66" s="30">
        <f t="shared" ref="O66:AE66" si="76">IFERROR(O17/$B52,0)</f>
        <v>353.95758981883785</v>
      </c>
      <c r="P66" s="30">
        <f t="shared" si="76"/>
        <v>2719.2215430932952</v>
      </c>
      <c r="Q66" s="30">
        <f t="shared" si="76"/>
        <v>735.58691260493879</v>
      </c>
      <c r="R66" s="30">
        <f t="shared" si="76"/>
        <v>442.52761961428757</v>
      </c>
      <c r="S66" s="30">
        <f t="shared" si="76"/>
        <v>5281.3254696956492</v>
      </c>
      <c r="T66" s="38">
        <f>IFERROR(s_RadSpec!$F$17*T17,".")*$B$66</f>
        <v>1.4125986117599842E-7</v>
      </c>
      <c r="U66" s="38">
        <f>IFERROR(s_RadSpec!$M$17*U17,".")*$B$66</f>
        <v>1.838761542876043E-8</v>
      </c>
      <c r="V66" s="38">
        <f>IFERROR(s_RadSpec!$N$17*V17,".")*$B$66</f>
        <v>6.797293310036564E-8</v>
      </c>
      <c r="W66" s="38">
        <f>IFERROR(s_RadSpec!$O$17*W17,".")*$B$66</f>
        <v>1.1298729793087404E-7</v>
      </c>
      <c r="X66" s="38">
        <f>IFERROR(s_RadSpec!$K$17*X17,".")*$B$66</f>
        <v>9.4673203321592296E-9</v>
      </c>
      <c r="Y66" s="47">
        <f t="shared" si="71"/>
        <v>1.4125986117599842E-7</v>
      </c>
      <c r="Z66" s="47">
        <f t="shared" si="71"/>
        <v>1.838761542876043E-8</v>
      </c>
      <c r="AA66" s="47">
        <f t="shared" si="71"/>
        <v>6.797293310036564E-8</v>
      </c>
      <c r="AB66" s="47">
        <f t="shared" si="71"/>
        <v>1.1298729793087404E-7</v>
      </c>
      <c r="AC66" s="47">
        <f t="shared" si="71"/>
        <v>9.4673203321592296E-9</v>
      </c>
      <c r="AD66" s="30">
        <f t="shared" si="76"/>
        <v>18.723763472713259</v>
      </c>
      <c r="AE66" s="30">
        <f t="shared" si="76"/>
        <v>31256.35602460615</v>
      </c>
      <c r="AF66" s="30">
        <f t="shared" si="72"/>
        <v>18.712553930772593</v>
      </c>
      <c r="AG66" s="38">
        <f>IFERROR(s_RadSpec!$G$17*AG17,".")*$B$66</f>
        <v>2.6704033125000002E-6</v>
      </c>
      <c r="AH66" s="38">
        <f>IFERROR(s_RadSpec!$J$17*AH17,".")*$B$66</f>
        <v>1.599674637716507E-9</v>
      </c>
      <c r="AI66" s="47">
        <f t="shared" si="73"/>
        <v>2.6704033125000002E-6</v>
      </c>
      <c r="AJ66" s="47">
        <f t="shared" si="73"/>
        <v>1.599674637716507E-9</v>
      </c>
      <c r="AK66" s="47">
        <f t="shared" si="74"/>
        <v>2.6720029871377169E-6</v>
      </c>
    </row>
    <row r="67" spans="1:37" x14ac:dyDescent="0.25">
      <c r="A67" s="29" t="s">
        <v>309</v>
      </c>
      <c r="B67" s="34">
        <v>2.0000000000000001E-4</v>
      </c>
      <c r="C67" s="2"/>
      <c r="D67" s="30">
        <f>IFERROR(D5/$B53,0)</f>
        <v>0</v>
      </c>
      <c r="E67" s="30">
        <f>IFERROR(E5/$B53,0)</f>
        <v>0</v>
      </c>
      <c r="F67" s="30">
        <f>IFERROR(F5/$B53,0)</f>
        <v>0</v>
      </c>
      <c r="G67" s="30">
        <f t="shared" si="67"/>
        <v>0</v>
      </c>
      <c r="H67" s="38">
        <f>IFERROR(s_RadSpec!$I$5*H5,".")*$B$67</f>
        <v>0</v>
      </c>
      <c r="I67" s="38">
        <f>IFERROR(s_RadSpec!$G$5*I5,".")*$B$67</f>
        <v>0</v>
      </c>
      <c r="J67" s="38">
        <f>IFERROR(s_RadSpec!$F$5*J5,".")*$B$67</f>
        <v>0</v>
      </c>
      <c r="K67" s="47">
        <f t="shared" si="68"/>
        <v>0</v>
      </c>
      <c r="L67" s="47">
        <f t="shared" si="68"/>
        <v>0</v>
      </c>
      <c r="M67" s="47">
        <f t="shared" si="68"/>
        <v>0</v>
      </c>
      <c r="N67" s="47">
        <f t="shared" si="69"/>
        <v>0</v>
      </c>
      <c r="O67" s="30">
        <f t="shared" ref="O67:AE67" si="77">IFERROR(O5/$B53,0)</f>
        <v>0</v>
      </c>
      <c r="P67" s="30">
        <f t="shared" si="77"/>
        <v>0</v>
      </c>
      <c r="Q67" s="30">
        <f t="shared" si="77"/>
        <v>0</v>
      </c>
      <c r="R67" s="30">
        <f t="shared" si="77"/>
        <v>0</v>
      </c>
      <c r="S67" s="30">
        <f t="shared" si="77"/>
        <v>0</v>
      </c>
      <c r="T67" s="38">
        <f>IFERROR(s_RadSpec!$F$5*T5,".")*$B$67</f>
        <v>0</v>
      </c>
      <c r="U67" s="38">
        <f>IFERROR(s_RadSpec!$M$5*U5,".")*$B$67</f>
        <v>0</v>
      </c>
      <c r="V67" s="38">
        <f>IFERROR(s_RadSpec!$N$5*V5,".")*$B$67</f>
        <v>0</v>
      </c>
      <c r="W67" s="38">
        <f>IFERROR(s_RadSpec!$O$5*W5,".")*$B$67</f>
        <v>0</v>
      </c>
      <c r="X67" s="38">
        <f>IFERROR(s_RadSpec!$K$5*X5,".")*$B$67</f>
        <v>0</v>
      </c>
      <c r="Y67" s="47">
        <f t="shared" si="71"/>
        <v>0</v>
      </c>
      <c r="Z67" s="47">
        <f t="shared" si="71"/>
        <v>0</v>
      </c>
      <c r="AA67" s="47">
        <f t="shared" si="71"/>
        <v>0</v>
      </c>
      <c r="AB67" s="47">
        <f t="shared" si="71"/>
        <v>0</v>
      </c>
      <c r="AC67" s="47">
        <f t="shared" si="71"/>
        <v>0</v>
      </c>
      <c r="AD67" s="30">
        <f t="shared" si="77"/>
        <v>0</v>
      </c>
      <c r="AE67" s="30">
        <f t="shared" si="77"/>
        <v>5166920729113.499</v>
      </c>
      <c r="AF67" s="30">
        <f t="shared" si="72"/>
        <v>5166920729113.499</v>
      </c>
      <c r="AG67" s="38">
        <f>IFERROR(s_RadSpec!$G$5*AG5,".")*$B$67</f>
        <v>0</v>
      </c>
      <c r="AH67" s="38">
        <f>IFERROR(s_RadSpec!$J$5*AH5,".")*$B$67</f>
        <v>9.6769435068493164E-18</v>
      </c>
      <c r="AI67" s="47">
        <f t="shared" si="73"/>
        <v>0</v>
      </c>
      <c r="AJ67" s="47">
        <f t="shared" si="73"/>
        <v>9.6769435068493164E-18</v>
      </c>
      <c r="AK67" s="47">
        <f t="shared" si="74"/>
        <v>9.6769435068493164E-18</v>
      </c>
    </row>
    <row r="68" spans="1:37" x14ac:dyDescent="0.25">
      <c r="A68" s="29" t="s">
        <v>310</v>
      </c>
      <c r="B68" s="34">
        <v>0.99999979999999999</v>
      </c>
      <c r="C68" s="2"/>
      <c r="D68" s="30">
        <f>IFERROR(D9/$B54,0)</f>
        <v>2469349.6968874843</v>
      </c>
      <c r="E68" s="30">
        <f>IFERROR(E9/$B54,0)</f>
        <v>7301807.3575732186</v>
      </c>
      <c r="F68" s="30">
        <f>IFERROR(F9/$B54,0)</f>
        <v>17.702048926630678</v>
      </c>
      <c r="G68" s="30">
        <f t="shared" si="67"/>
        <v>17.701879111676025</v>
      </c>
      <c r="H68" s="38">
        <f>IFERROR(s_RadSpec!$I$9*H9,".")*$B$68</f>
        <v>2.0248245950349999E-11</v>
      </c>
      <c r="I68" s="38">
        <f>IFERROR(s_RadSpec!$G$9*I9,".")*$B$68</f>
        <v>6.8476197126922933E-12</v>
      </c>
      <c r="J68" s="38">
        <f>IFERROR(s_RadSpec!$F$9*J9,".")*$B$68</f>
        <v>2.8245317933101414E-6</v>
      </c>
      <c r="K68" s="47">
        <f t="shared" si="68"/>
        <v>2.0248245950349999E-11</v>
      </c>
      <c r="L68" s="47">
        <f t="shared" si="68"/>
        <v>6.8476197126922933E-12</v>
      </c>
      <c r="M68" s="47">
        <f t="shared" si="68"/>
        <v>2.8245317933101414E-6</v>
      </c>
      <c r="N68" s="47">
        <f t="shared" si="69"/>
        <v>2.8245588891758045E-6</v>
      </c>
      <c r="O68" s="30">
        <f t="shared" ref="O68:AE68" si="78">IFERROR(O9/$B54,0)</f>
        <v>17.702048926630678</v>
      </c>
      <c r="P68" s="30">
        <f t="shared" si="78"/>
        <v>200.75264902486708</v>
      </c>
      <c r="Q68" s="30">
        <f t="shared" si="78"/>
        <v>49.16175466002435</v>
      </c>
      <c r="R68" s="30">
        <f t="shared" si="78"/>
        <v>25.146995650179655</v>
      </c>
      <c r="S68" s="30">
        <f t="shared" si="78"/>
        <v>367.22650879724722</v>
      </c>
      <c r="T68" s="38">
        <f>IFERROR(s_RadSpec!$F$9*T9,".")*$B$68</f>
        <v>2.8245317933101414E-6</v>
      </c>
      <c r="U68" s="38">
        <f>IFERROR(s_RadSpec!$M$9*U9,".")*$B$68</f>
        <v>2.4906271594855285E-7</v>
      </c>
      <c r="V68" s="38">
        <f>IFERROR(s_RadSpec!$N$9*V9,".")*$B$68</f>
        <v>1.0170507612222654E-6</v>
      </c>
      <c r="W68" s="38">
        <f>IFERROR(s_RadSpec!$O$9*W9,".")*$B$68</f>
        <v>1.9883090885110476E-6</v>
      </c>
      <c r="X68" s="38">
        <f>IFERROR(s_RadSpec!$K$9*X9,".")*$B$68</f>
        <v>1.3615574802527661E-7</v>
      </c>
      <c r="Y68" s="47">
        <f t="shared" si="71"/>
        <v>2.8245317933101414E-6</v>
      </c>
      <c r="Z68" s="47">
        <f t="shared" si="71"/>
        <v>2.4906271594855285E-7</v>
      </c>
      <c r="AA68" s="47">
        <f t="shared" si="71"/>
        <v>1.0170507612222654E-6</v>
      </c>
      <c r="AB68" s="47">
        <f t="shared" si="71"/>
        <v>1.9883090885110476E-6</v>
      </c>
      <c r="AC68" s="47">
        <f t="shared" si="71"/>
        <v>1.3615574802527661E-7</v>
      </c>
      <c r="AD68" s="30">
        <f t="shared" si="78"/>
        <v>23.536338923213652</v>
      </c>
      <c r="AE68" s="30">
        <f t="shared" si="78"/>
        <v>4761.142566490169</v>
      </c>
      <c r="AF68" s="30">
        <f t="shared" si="72"/>
        <v>23.420561195834367</v>
      </c>
      <c r="AG68" s="38">
        <f>IFERROR(s_RadSpec!$G$9*AG9,".")*$B$68</f>
        <v>2.1243745751249998E-6</v>
      </c>
      <c r="AH68" s="38">
        <f>IFERROR(s_RadSpec!$J$9*AH9,".")*$B$68</f>
        <v>1.050168090993737E-8</v>
      </c>
      <c r="AI68" s="47">
        <f t="shared" si="73"/>
        <v>2.1243745751249998E-6</v>
      </c>
      <c r="AJ68" s="47">
        <f t="shared" si="73"/>
        <v>1.050168090993737E-8</v>
      </c>
      <c r="AK68" s="47">
        <f t="shared" si="74"/>
        <v>2.1348762560349371E-6</v>
      </c>
    </row>
    <row r="69" spans="1:37" x14ac:dyDescent="0.25">
      <c r="A69" s="29" t="s">
        <v>311</v>
      </c>
      <c r="B69" s="34">
        <v>1.9999999999999999E-7</v>
      </c>
      <c r="C69" s="2"/>
      <c r="D69" s="30">
        <f>IFERROR(D24/$B55,0)</f>
        <v>0</v>
      </c>
      <c r="E69" s="30">
        <f>IFERROR(E24/$B55,0)</f>
        <v>0</v>
      </c>
      <c r="F69" s="30">
        <f>IFERROR(F24/$B55,0)</f>
        <v>338789087917.6972</v>
      </c>
      <c r="G69" s="30">
        <f t="shared" si="67"/>
        <v>338789087917.6972</v>
      </c>
      <c r="H69" s="38">
        <f>IFERROR(s_RadSpec!$I$24*H24,".")*$B$69</f>
        <v>0</v>
      </c>
      <c r="I69" s="38">
        <f>IFERROR(s_RadSpec!$G$24*I24,".")*$B$69</f>
        <v>0</v>
      </c>
      <c r="J69" s="38">
        <f>IFERROR(s_RadSpec!$F$24*J24,".")*$B$69</f>
        <v>1.4758444643927444E-16</v>
      </c>
      <c r="K69" s="47">
        <f t="shared" si="68"/>
        <v>0</v>
      </c>
      <c r="L69" s="47">
        <f t="shared" si="68"/>
        <v>0</v>
      </c>
      <c r="M69" s="47">
        <f t="shared" si="68"/>
        <v>1.4758444643927444E-16</v>
      </c>
      <c r="N69" s="47">
        <f t="shared" si="69"/>
        <v>1.4758444643927444E-16</v>
      </c>
      <c r="O69" s="30">
        <f t="shared" ref="O69:AE69" si="79">IFERROR(O24/$B55,0)</f>
        <v>338789087917.6972</v>
      </c>
      <c r="P69" s="30">
        <f t="shared" si="79"/>
        <v>2984695188693.2773</v>
      </c>
      <c r="Q69" s="30">
        <f t="shared" si="79"/>
        <v>748624381200.15112</v>
      </c>
      <c r="R69" s="30">
        <f t="shared" si="79"/>
        <v>403943010259.75562</v>
      </c>
      <c r="S69" s="30">
        <f t="shared" si="79"/>
        <v>5078002126476.877</v>
      </c>
      <c r="T69" s="38">
        <f>IFERROR(s_RadSpec!$F$24*T24,".")*$B$69</f>
        <v>1.4758444643927444E-16</v>
      </c>
      <c r="U69" s="38">
        <f>IFERROR(s_RadSpec!$M$24*U24,".")*$B$69</f>
        <v>1.6752129393115818E-17</v>
      </c>
      <c r="V69" s="38">
        <f>IFERROR(s_RadSpec!$N$24*V24,".")*$B$69</f>
        <v>6.6789168581235497E-17</v>
      </c>
      <c r="W69" s="38">
        <f>IFERROR(s_RadSpec!$O$24*W24,".")*$B$69</f>
        <v>1.2377983708109592E-16</v>
      </c>
      <c r="X69" s="38">
        <f>IFERROR(s_RadSpec!$K$24*X24,".")*$B$69</f>
        <v>9.8463920956823346E-18</v>
      </c>
      <c r="Y69" s="47">
        <f t="shared" si="71"/>
        <v>1.4758444643927444E-16</v>
      </c>
      <c r="Z69" s="47">
        <f t="shared" si="71"/>
        <v>1.6752129393115818E-17</v>
      </c>
      <c r="AA69" s="47">
        <f t="shared" si="71"/>
        <v>6.6789168581235497E-17</v>
      </c>
      <c r="AB69" s="47">
        <f t="shared" si="71"/>
        <v>1.2377983708109592E-16</v>
      </c>
      <c r="AC69" s="47">
        <f t="shared" si="71"/>
        <v>9.8463920956823346E-18</v>
      </c>
      <c r="AD69" s="30">
        <f t="shared" si="79"/>
        <v>0</v>
      </c>
      <c r="AE69" s="30">
        <f t="shared" si="79"/>
        <v>49965826830987.688</v>
      </c>
      <c r="AF69" s="30">
        <f t="shared" si="72"/>
        <v>49965826830987.695</v>
      </c>
      <c r="AG69" s="38">
        <f>IFERROR(s_RadSpec!$G$24*AG24,".")*$B$69</f>
        <v>0</v>
      </c>
      <c r="AH69" s="38">
        <f>IFERROR(s_RadSpec!$J$24*AH24,".")*$B$69</f>
        <v>1.0006839308219179E-18</v>
      </c>
      <c r="AI69" s="47">
        <f t="shared" si="73"/>
        <v>0</v>
      </c>
      <c r="AJ69" s="47">
        <f t="shared" si="73"/>
        <v>1.0006839308219179E-18</v>
      </c>
      <c r="AK69" s="47">
        <f t="shared" si="74"/>
        <v>1.0006839308219179E-18</v>
      </c>
    </row>
    <row r="70" spans="1:37" x14ac:dyDescent="0.25">
      <c r="A70" s="29" t="s">
        <v>312</v>
      </c>
      <c r="B70" s="34">
        <v>0.99979000004200003</v>
      </c>
      <c r="C70" s="2"/>
      <c r="D70" s="30">
        <f>IFERROR(D20/$B56,0)</f>
        <v>0</v>
      </c>
      <c r="E70" s="30">
        <f>IFERROR(E20/$B56,0)</f>
        <v>0</v>
      </c>
      <c r="F70" s="30">
        <f>IFERROR(F20/$B56,0)</f>
        <v>466458.00103321346</v>
      </c>
      <c r="G70" s="30">
        <f t="shared" si="67"/>
        <v>466458.00103321346</v>
      </c>
      <c r="H70" s="38">
        <f>IFERROR(s_RadSpec!$I$20*H20,".")*$B$70</f>
        <v>0</v>
      </c>
      <c r="I70" s="38">
        <f>IFERROR(s_RadSpec!$G$20*I20,".")*$B$70</f>
        <v>0</v>
      </c>
      <c r="J70" s="38">
        <f>IFERROR(s_RadSpec!$F$20*J20,".")*$B$70</f>
        <v>1.0719078650006869E-10</v>
      </c>
      <c r="K70" s="47">
        <f t="shared" si="68"/>
        <v>0</v>
      </c>
      <c r="L70" s="47">
        <f t="shared" si="68"/>
        <v>0</v>
      </c>
      <c r="M70" s="47">
        <f t="shared" si="68"/>
        <v>1.0719078650006869E-10</v>
      </c>
      <c r="N70" s="47">
        <f t="shared" si="69"/>
        <v>1.0719078650006869E-10</v>
      </c>
      <c r="O70" s="30">
        <f t="shared" ref="O70:AE70" si="80">IFERROR(O20/$B56,0)</f>
        <v>466458.00103321346</v>
      </c>
      <c r="P70" s="30">
        <f t="shared" si="80"/>
        <v>4650226.5246433476</v>
      </c>
      <c r="Q70" s="30">
        <f t="shared" si="80"/>
        <v>1154344.3907067061</v>
      </c>
      <c r="R70" s="30">
        <f t="shared" si="80"/>
        <v>617117.21133585006</v>
      </c>
      <c r="S70" s="30">
        <f t="shared" si="80"/>
        <v>8133116.150045583</v>
      </c>
      <c r="T70" s="38">
        <f>IFERROR(s_RadSpec!$F$20*T20,".")*$B$70</f>
        <v>1.0719078650006869E-10</v>
      </c>
      <c r="U70" s="38">
        <f>IFERROR(s_RadSpec!$M$20*U20,".")*$B$70</f>
        <v>1.0752164380601825E-11</v>
      </c>
      <c r="V70" s="38">
        <f>IFERROR(s_RadSpec!$N$20*V20,".")*$B$70</f>
        <v>4.3314629847500983E-11</v>
      </c>
      <c r="W70" s="38">
        <f>IFERROR(s_RadSpec!$O$20*W20,".")*$B$70</f>
        <v>8.1021885440153096E-11</v>
      </c>
      <c r="X70" s="38">
        <f>IFERROR(s_RadSpec!$K$20*X20,".")*$B$70</f>
        <v>6.1477051449363318E-12</v>
      </c>
      <c r="Y70" s="47">
        <f t="shared" si="71"/>
        <v>1.0719078650006869E-10</v>
      </c>
      <c r="Z70" s="47">
        <f t="shared" si="71"/>
        <v>1.0752164380601825E-11</v>
      </c>
      <c r="AA70" s="47">
        <f t="shared" si="71"/>
        <v>4.3314629847500983E-11</v>
      </c>
      <c r="AB70" s="47">
        <f t="shared" si="71"/>
        <v>8.1021885440153096E-11</v>
      </c>
      <c r="AC70" s="47">
        <f t="shared" si="71"/>
        <v>6.1477051449363318E-12</v>
      </c>
      <c r="AD70" s="30">
        <f t="shared" si="80"/>
        <v>0</v>
      </c>
      <c r="AE70" s="30">
        <f t="shared" si="80"/>
        <v>89173437.038030326</v>
      </c>
      <c r="AF70" s="30">
        <f t="shared" si="72"/>
        <v>89173437.038030326</v>
      </c>
      <c r="AG70" s="38">
        <f>IFERROR(s_RadSpec!$G$20*AG20,".")*$B$70</f>
        <v>0</v>
      </c>
      <c r="AH70" s="38">
        <f>IFERROR(s_RadSpec!$J$20*AH20,".")*$B$70</f>
        <v>5.6070508955123276E-13</v>
      </c>
      <c r="AI70" s="47">
        <f t="shared" si="73"/>
        <v>0</v>
      </c>
      <c r="AJ70" s="47">
        <f t="shared" si="73"/>
        <v>5.6070508955123276E-13</v>
      </c>
      <c r="AK70" s="47">
        <f t="shared" si="74"/>
        <v>5.6070508955123276E-13</v>
      </c>
    </row>
    <row r="71" spans="1:37" x14ac:dyDescent="0.25">
      <c r="A71" s="29" t="s">
        <v>313</v>
      </c>
      <c r="B71" s="34">
        <v>2.0999995799999999E-4</v>
      </c>
      <c r="C71" s="2"/>
      <c r="D71" s="30">
        <f>IFERROR(D29/$B57,0)</f>
        <v>0</v>
      </c>
      <c r="E71" s="30">
        <f>IFERROR(E29/$B57,0)</f>
        <v>0</v>
      </c>
      <c r="F71" s="30">
        <f>IFERROR(F29/$B57,0)</f>
        <v>50155.775856986278</v>
      </c>
      <c r="G71" s="30">
        <f t="shared" si="67"/>
        <v>50155.775856986278</v>
      </c>
      <c r="H71" s="38">
        <f>IFERROR(s_RadSpec!$I$29*H29,".")*$B$71</f>
        <v>0</v>
      </c>
      <c r="I71" s="38">
        <f>IFERROR(s_RadSpec!$G$29*I29,".")*$B$71</f>
        <v>0</v>
      </c>
      <c r="J71" s="38">
        <f>IFERROR(s_RadSpec!$F$29*J29,".")*$B$71</f>
        <v>9.9689415916064306E-10</v>
      </c>
      <c r="K71" s="47">
        <f t="shared" si="68"/>
        <v>0</v>
      </c>
      <c r="L71" s="47">
        <f t="shared" si="68"/>
        <v>0</v>
      </c>
      <c r="M71" s="47">
        <f t="shared" si="68"/>
        <v>9.9689415916064306E-10</v>
      </c>
      <c r="N71" s="47">
        <f t="shared" si="69"/>
        <v>9.9689415916064306E-10</v>
      </c>
      <c r="O71" s="30">
        <f t="shared" ref="O71:AE71" si="81">IFERROR(O29/$B57,0)</f>
        <v>50155.775856986278</v>
      </c>
      <c r="P71" s="30">
        <f t="shared" si="81"/>
        <v>540868.15517507214</v>
      </c>
      <c r="Q71" s="30">
        <f t="shared" si="81"/>
        <v>134505.29938105785</v>
      </c>
      <c r="R71" s="30">
        <f t="shared" si="81"/>
        <v>71482.471592213566</v>
      </c>
      <c r="S71" s="30">
        <f t="shared" si="81"/>
        <v>1003285.7791257967</v>
      </c>
      <c r="T71" s="38">
        <f>IFERROR(s_RadSpec!$F$29*T29,".")*$B$71</f>
        <v>9.9689415916064306E-10</v>
      </c>
      <c r="U71" s="38">
        <f>IFERROR(s_RadSpec!$M$29*U29,".")*$B$71</f>
        <v>9.2443970904176533E-11</v>
      </c>
      <c r="V71" s="38">
        <f>IFERROR(s_RadSpec!$N$29*V29,".")*$B$71</f>
        <v>3.7173256540880524E-10</v>
      </c>
      <c r="W71" s="38">
        <f>IFERROR(s_RadSpec!$O$29*W29,".")*$B$71</f>
        <v>6.9947217669298398E-10</v>
      </c>
      <c r="X71" s="38">
        <f>IFERROR(s_RadSpec!$K$29*X29,".")*$B$71</f>
        <v>4.9836249093022152E-11</v>
      </c>
      <c r="Y71" s="47">
        <f t="shared" si="71"/>
        <v>9.9689415916064306E-10</v>
      </c>
      <c r="Z71" s="47">
        <f t="shared" si="71"/>
        <v>9.2443970904176533E-11</v>
      </c>
      <c r="AA71" s="47">
        <f t="shared" si="71"/>
        <v>3.7173256540880524E-10</v>
      </c>
      <c r="AB71" s="47">
        <f t="shared" si="71"/>
        <v>6.9947217669298398E-10</v>
      </c>
      <c r="AC71" s="47">
        <f t="shared" si="71"/>
        <v>4.9836249093022152E-11</v>
      </c>
      <c r="AD71" s="30">
        <f t="shared" si="81"/>
        <v>0</v>
      </c>
      <c r="AE71" s="30">
        <f t="shared" si="81"/>
        <v>12255771.296490857</v>
      </c>
      <c r="AF71" s="30">
        <f t="shared" si="72"/>
        <v>12255771.296490857</v>
      </c>
      <c r="AG71" s="38">
        <f>IFERROR(s_RadSpec!$G$29*AG29,".")*$B$71</f>
        <v>0</v>
      </c>
      <c r="AH71" s="38">
        <f>IFERROR(s_RadSpec!$J$29*AH29,".")*$B$71</f>
        <v>4.0797105943316913E-12</v>
      </c>
      <c r="AI71" s="47">
        <f t="shared" si="73"/>
        <v>0</v>
      </c>
      <c r="AJ71" s="47">
        <f t="shared" si="73"/>
        <v>4.0797105943316913E-12</v>
      </c>
      <c r="AK71" s="47">
        <f t="shared" si="74"/>
        <v>4.0797105943316913E-12</v>
      </c>
    </row>
    <row r="72" spans="1:37" x14ac:dyDescent="0.25">
      <c r="A72" s="29" t="s">
        <v>314</v>
      </c>
      <c r="B72" s="34">
        <v>1</v>
      </c>
      <c r="C72" s="2"/>
      <c r="D72" s="30">
        <f>IFERROR(D16/$B58,0)</f>
        <v>606.6672733339401</v>
      </c>
      <c r="E72" s="30">
        <f>IFERROR(E16/$B58,0)</f>
        <v>28428.879509083727</v>
      </c>
      <c r="F72" s="30">
        <f>IFERROR(F16/$B58,0)</f>
        <v>2579238396.942708</v>
      </c>
      <c r="G72" s="30">
        <f t="shared" si="67"/>
        <v>593.99146064134425</v>
      </c>
      <c r="H72" s="38">
        <f>IFERROR(s_RadSpec!$I$16*H16,".")*$B$72</f>
        <v>8.2417500000000003E-8</v>
      </c>
      <c r="I72" s="38">
        <f>IFERROR(s_RadSpec!$G$16*I16,".")*$B$72</f>
        <v>1.7587749100003667E-9</v>
      </c>
      <c r="J72" s="38">
        <f>IFERROR(s_RadSpec!$F$16*J16,".")*$B$72</f>
        <v>1.9385567483512712E-14</v>
      </c>
      <c r="K72" s="47">
        <f t="shared" si="68"/>
        <v>8.2417500000000003E-8</v>
      </c>
      <c r="L72" s="47">
        <f t="shared" si="68"/>
        <v>1.7587749100003667E-9</v>
      </c>
      <c r="M72" s="47">
        <f t="shared" si="68"/>
        <v>1.9385567483512712E-14</v>
      </c>
      <c r="N72" s="47">
        <f t="shared" si="69"/>
        <v>8.4176294295567852E-8</v>
      </c>
      <c r="O72" s="30">
        <f t="shared" ref="O72:AE72" si="82">IFERROR(O16/$B58,0)</f>
        <v>2579238396.942708</v>
      </c>
      <c r="P72" s="30">
        <f t="shared" si="82"/>
        <v>7149251915.5073071</v>
      </c>
      <c r="Q72" s="30">
        <f t="shared" si="82"/>
        <v>2790278935.7777948</v>
      </c>
      <c r="R72" s="30">
        <f t="shared" si="82"/>
        <v>2773778206.345232</v>
      </c>
      <c r="S72" s="30">
        <f t="shared" si="82"/>
        <v>92793678400.405716</v>
      </c>
      <c r="T72" s="38">
        <f>IFERROR(s_RadSpec!$F$16*T16,".")*$B$72</f>
        <v>1.9385567483512712E-14</v>
      </c>
      <c r="U72" s="38">
        <f>IFERROR(s_RadSpec!$M$16*U16,".")*$B$72</f>
        <v>6.9937387283200846E-15</v>
      </c>
      <c r="V72" s="38">
        <f>IFERROR(s_RadSpec!$N$16*V16,".")*$B$72</f>
        <v>1.7919355430342462E-14</v>
      </c>
      <c r="W72" s="38">
        <f>IFERROR(s_RadSpec!$O$16*W16,".")*$B$72</f>
        <v>1.802595459349314E-14</v>
      </c>
      <c r="X72" s="38">
        <f>IFERROR(s_RadSpec!$K$16*X16,".")*$B$72</f>
        <v>5.3882980890410956E-16</v>
      </c>
      <c r="Y72" s="47">
        <f t="shared" si="71"/>
        <v>1.9385567483512712E-14</v>
      </c>
      <c r="Z72" s="47">
        <f t="shared" si="71"/>
        <v>6.9937387283200846E-15</v>
      </c>
      <c r="AA72" s="47">
        <f t="shared" si="71"/>
        <v>1.7919355430342462E-14</v>
      </c>
      <c r="AB72" s="47">
        <f t="shared" si="71"/>
        <v>1.802595459349314E-14</v>
      </c>
      <c r="AC72" s="47">
        <f t="shared" si="71"/>
        <v>5.3882980890410956E-16</v>
      </c>
      <c r="AD72" s="30">
        <f t="shared" si="82"/>
        <v>9.1636455272818912E-2</v>
      </c>
      <c r="AE72" s="30">
        <f t="shared" si="82"/>
        <v>8095353.5459107636</v>
      </c>
      <c r="AF72" s="30">
        <f t="shared" si="72"/>
        <v>9.1636454235527603E-2</v>
      </c>
      <c r="AG72" s="38">
        <f>IFERROR(s_RadSpec!$G$16*AG16,".")*$B$72</f>
        <v>5.4563437499999994E-4</v>
      </c>
      <c r="AH72" s="38">
        <f>IFERROR(s_RadSpec!$J$16*AH16,".")*$B$72</f>
        <v>6.1763825034246576E-12</v>
      </c>
      <c r="AI72" s="47">
        <f t="shared" si="73"/>
        <v>5.4563437499999994E-4</v>
      </c>
      <c r="AJ72" s="47">
        <f t="shared" si="73"/>
        <v>6.1763825034246576E-12</v>
      </c>
      <c r="AK72" s="47">
        <f t="shared" si="74"/>
        <v>5.4563438117638248E-4</v>
      </c>
    </row>
    <row r="73" spans="1:37" x14ac:dyDescent="0.25">
      <c r="A73" s="29" t="s">
        <v>315</v>
      </c>
      <c r="B73" s="34">
        <v>1</v>
      </c>
      <c r="C73" s="2"/>
      <c r="D73" s="30">
        <f>IFERROR(D7/$B59,0)</f>
        <v>97307.028000097314</v>
      </c>
      <c r="E73" s="30">
        <f>IFERROR(E7/$B59,0)</f>
        <v>991543.84629243263</v>
      </c>
      <c r="F73" s="30">
        <f>IFERROR(F7/$B59,0)</f>
        <v>165944.89932919262</v>
      </c>
      <c r="G73" s="30">
        <f t="shared" si="67"/>
        <v>57765.486871481844</v>
      </c>
      <c r="H73" s="38">
        <f>IFERROR(s_RadSpec!$I$7*H7,".")*$B$73</f>
        <v>5.1383749999999998E-10</v>
      </c>
      <c r="I73" s="38">
        <f>IFERROR(s_RadSpec!$G$7*I7,".")*$B$73</f>
        <v>5.0426413503507021E-11</v>
      </c>
      <c r="J73" s="38">
        <f>IFERROR(s_RadSpec!$F$7*J7,".")*$B$73</f>
        <v>3.0130483191780842E-10</v>
      </c>
      <c r="K73" s="47">
        <f t="shared" si="68"/>
        <v>5.1383749999999998E-10</v>
      </c>
      <c r="L73" s="47">
        <f t="shared" si="68"/>
        <v>5.0426413503507021E-11</v>
      </c>
      <c r="M73" s="47">
        <f t="shared" si="68"/>
        <v>3.0130483191780842E-10</v>
      </c>
      <c r="N73" s="47">
        <f t="shared" si="69"/>
        <v>8.6556874542131538E-10</v>
      </c>
      <c r="O73" s="30">
        <f t="shared" ref="O73:AE73" si="83">IFERROR(O7/$B59,0)</f>
        <v>165944.89932919262</v>
      </c>
      <c r="P73" s="30">
        <f t="shared" si="83"/>
        <v>765258.1002249415</v>
      </c>
      <c r="Q73" s="30">
        <f t="shared" si="83"/>
        <v>260447.30986862781</v>
      </c>
      <c r="R73" s="30">
        <f t="shared" si="83"/>
        <v>183335.43435043469</v>
      </c>
      <c r="S73" s="30">
        <f t="shared" si="83"/>
        <v>259255.42796089043</v>
      </c>
      <c r="T73" s="38">
        <f>IFERROR(s_RadSpec!$F$7*T7,".")*$B$73</f>
        <v>3.0130483191780842E-10</v>
      </c>
      <c r="U73" s="38">
        <f>IFERROR(s_RadSpec!$M$7*U7,".")*$B$73</f>
        <v>6.5337433194503794E-11</v>
      </c>
      <c r="V73" s="38">
        <f>IFERROR(s_RadSpec!$N$7*V7,".")*$B$73</f>
        <v>1.9197741003821656E-10</v>
      </c>
      <c r="W73" s="38">
        <f>IFERROR(s_RadSpec!$O$7*W7,".")*$B$73</f>
        <v>2.7272414728310516E-10</v>
      </c>
      <c r="X73" s="38">
        <f>IFERROR(s_RadSpec!$K$7*X7,".")*$B$73</f>
        <v>1.9285999291610849E-10</v>
      </c>
      <c r="Y73" s="47">
        <f t="shared" si="71"/>
        <v>3.0130483191780842E-10</v>
      </c>
      <c r="Z73" s="47">
        <f t="shared" si="71"/>
        <v>6.5337433194503794E-11</v>
      </c>
      <c r="AA73" s="47">
        <f t="shared" si="71"/>
        <v>1.9197741003821656E-10</v>
      </c>
      <c r="AB73" s="47">
        <f t="shared" si="71"/>
        <v>2.7272414728310516E-10</v>
      </c>
      <c r="AC73" s="47">
        <f t="shared" si="71"/>
        <v>1.9285999291610849E-10</v>
      </c>
      <c r="AD73" s="30">
        <f t="shared" si="83"/>
        <v>3.1961007570763673</v>
      </c>
      <c r="AE73" s="30">
        <f t="shared" si="83"/>
        <v>6022371.1809534831</v>
      </c>
      <c r="AF73" s="30">
        <f t="shared" si="72"/>
        <v>3.1960990608915387</v>
      </c>
      <c r="AG73" s="38">
        <f>IFERROR(s_RadSpec!$G$7*AG7,".")*$B$73</f>
        <v>1.5644062499999999E-5</v>
      </c>
      <c r="AH73" s="38">
        <f>IFERROR(s_RadSpec!$J$7*AH7,".")*$B$73</f>
        <v>8.3023776678082202E-12</v>
      </c>
      <c r="AI73" s="47">
        <f t="shared" si="73"/>
        <v>1.5644062499999999E-5</v>
      </c>
      <c r="AJ73" s="47">
        <f t="shared" si="73"/>
        <v>8.3023776678082202E-12</v>
      </c>
      <c r="AK73" s="47">
        <f t="shared" si="74"/>
        <v>1.5644070802377668E-5</v>
      </c>
    </row>
    <row r="74" spans="1:37" x14ac:dyDescent="0.25">
      <c r="A74" s="29" t="s">
        <v>316</v>
      </c>
      <c r="B74" s="36">
        <v>1.9000000000000001E-8</v>
      </c>
      <c r="C74" s="2"/>
      <c r="D74" s="30">
        <f>IFERROR(D12/$B60,0)</f>
        <v>0</v>
      </c>
      <c r="E74" s="30">
        <f>IFERROR(E12/$B60,0)</f>
        <v>0</v>
      </c>
      <c r="F74" s="30">
        <f>IFERROR(F12/$B60,0)</f>
        <v>38805260470.627167</v>
      </c>
      <c r="G74" s="30">
        <f t="shared" si="67"/>
        <v>38805260470.627167</v>
      </c>
      <c r="H74" s="38">
        <f>IFERROR(s_RadSpec!$I$12*H12,".")*$B$74</f>
        <v>0</v>
      </c>
      <c r="I74" s="38">
        <f>IFERROR(s_RadSpec!$G$12*I12,".")*$B$74</f>
        <v>0</v>
      </c>
      <c r="J74" s="38">
        <f>IFERROR(s_RadSpec!$F$12*J12,".")*$B$74</f>
        <v>1.2884851021125463E-15</v>
      </c>
      <c r="K74" s="47">
        <f t="shared" si="68"/>
        <v>0</v>
      </c>
      <c r="L74" s="47">
        <f t="shared" si="68"/>
        <v>0</v>
      </c>
      <c r="M74" s="47">
        <f t="shared" si="68"/>
        <v>1.2884851021125463E-15</v>
      </c>
      <c r="N74" s="47">
        <f t="shared" si="69"/>
        <v>1.2884851021125463E-15</v>
      </c>
      <c r="O74" s="30">
        <f t="shared" ref="O74:AE74" si="84">IFERROR(O12/$B60,0)</f>
        <v>38805260470.627167</v>
      </c>
      <c r="P74" s="30">
        <f t="shared" si="84"/>
        <v>306359674914.80096</v>
      </c>
      <c r="Q74" s="30">
        <f t="shared" si="84"/>
        <v>79644460970.097534</v>
      </c>
      <c r="R74" s="30">
        <f t="shared" si="84"/>
        <v>47691143836.751991</v>
      </c>
      <c r="S74" s="30">
        <f t="shared" si="84"/>
        <v>519900785736.20032</v>
      </c>
      <c r="T74" s="38">
        <f>IFERROR(s_RadSpec!$F$12*T12,".")*$B$74</f>
        <v>1.2884851021125463E-15</v>
      </c>
      <c r="U74" s="38">
        <f>IFERROR(s_RadSpec!$M$12*U12,".")*$B$74</f>
        <v>1.6320685812813022E-16</v>
      </c>
      <c r="V74" s="38">
        <f>IFERROR(s_RadSpec!$N$12*V12,".")*$B$74</f>
        <v>6.2779004830947974E-16</v>
      </c>
      <c r="W74" s="38">
        <f>IFERROR(s_RadSpec!$O$12*W12,".")*$B$74</f>
        <v>1.0484126816322815E-15</v>
      </c>
      <c r="X74" s="38">
        <f>IFERROR(s_RadSpec!$K$12*X12,".")*$B$74</f>
        <v>9.6172195487640992E-17</v>
      </c>
      <c r="Y74" s="47">
        <f t="shared" si="71"/>
        <v>1.2884851021125463E-15</v>
      </c>
      <c r="Z74" s="47">
        <f t="shared" si="71"/>
        <v>1.6320685812813022E-16</v>
      </c>
      <c r="AA74" s="47">
        <f t="shared" si="71"/>
        <v>6.2779004830947974E-16</v>
      </c>
      <c r="AB74" s="47">
        <f t="shared" si="71"/>
        <v>1.0484126816322815E-15</v>
      </c>
      <c r="AC74" s="47">
        <f t="shared" si="71"/>
        <v>9.6172195487640992E-17</v>
      </c>
      <c r="AD74" s="30">
        <f t="shared" si="84"/>
        <v>0</v>
      </c>
      <c r="AE74" s="30">
        <f t="shared" si="84"/>
        <v>3378494297178.8574</v>
      </c>
      <c r="AF74" s="30">
        <f t="shared" si="72"/>
        <v>3378494297178.8574</v>
      </c>
      <c r="AG74" s="38">
        <f>IFERROR(s_RadSpec!$G$12*AG12,".")*$B$74</f>
        <v>0</v>
      </c>
      <c r="AH74" s="38">
        <f>IFERROR(s_RadSpec!$J$12*AH12,".")*$B$74</f>
        <v>1.4799492200342468E-17</v>
      </c>
      <c r="AI74" s="47">
        <f t="shared" si="73"/>
        <v>0</v>
      </c>
      <c r="AJ74" s="47">
        <f t="shared" si="73"/>
        <v>1.4799492200342468E-17</v>
      </c>
      <c r="AK74" s="47">
        <f t="shared" si="74"/>
        <v>1.4799492200342468E-17</v>
      </c>
    </row>
    <row r="75" spans="1:37" x14ac:dyDescent="0.25">
      <c r="A75" s="29" t="s">
        <v>317</v>
      </c>
      <c r="B75" s="34">
        <v>1</v>
      </c>
      <c r="C75" s="2"/>
      <c r="D75" s="30">
        <f>IFERROR(D18/$B61,0)</f>
        <v>253.29922237138732</v>
      </c>
      <c r="E75" s="30">
        <f>IFERROR(E18/$B61,0)</f>
        <v>31112.217626012549</v>
      </c>
      <c r="F75" s="30">
        <f>IFERROR(F18/$B61,0)</f>
        <v>3973669.4583399002</v>
      </c>
      <c r="G75" s="30">
        <f t="shared" si="67"/>
        <v>251.23776237258681</v>
      </c>
      <c r="H75" s="38">
        <f>IFERROR(s_RadSpec!$I$18*H18,".")*$B$75</f>
        <v>1.97395E-7</v>
      </c>
      <c r="I75" s="38">
        <f>IFERROR(s_RadSpec!$G$18*I18,".")*$B$75</f>
        <v>1.6070856986483537E-9</v>
      </c>
      <c r="J75" s="38">
        <f>IFERROR(s_RadSpec!$F$18*J18,".")*$B$75</f>
        <v>1.2582828170335222E-11</v>
      </c>
      <c r="K75" s="47">
        <f t="shared" si="68"/>
        <v>1.97395E-7</v>
      </c>
      <c r="L75" s="47">
        <f t="shared" si="68"/>
        <v>1.6070856986483537E-9</v>
      </c>
      <c r="M75" s="47">
        <f t="shared" si="68"/>
        <v>1.2582828170335222E-11</v>
      </c>
      <c r="N75" s="47">
        <f t="shared" si="69"/>
        <v>1.9901466852681868E-7</v>
      </c>
      <c r="O75" s="30">
        <f t="shared" ref="O75:AE75" si="85">IFERROR(O18/$B61,0)</f>
        <v>3973669.4583399002</v>
      </c>
      <c r="P75" s="30">
        <f t="shared" si="85"/>
        <v>39600952.955493495</v>
      </c>
      <c r="Q75" s="30">
        <f t="shared" si="85"/>
        <v>9767504.56023206</v>
      </c>
      <c r="R75" s="30">
        <f t="shared" si="85"/>
        <v>5194512.4937339183</v>
      </c>
      <c r="S75" s="30">
        <f t="shared" si="85"/>
        <v>69247941.212073535</v>
      </c>
      <c r="T75" s="38">
        <f>IFERROR(s_RadSpec!$F$18*T18,".")*$B$75</f>
        <v>1.2582828170335222E-11</v>
      </c>
      <c r="U75" s="38">
        <f>IFERROR(s_RadSpec!$M$18*U18,".")*$B$75</f>
        <v>1.2625958788464952E-12</v>
      </c>
      <c r="V75" s="38">
        <f>IFERROR(s_RadSpec!$N$18*V18,".")*$B$75</f>
        <v>5.1190147587514496E-12</v>
      </c>
      <c r="W75" s="38">
        <f>IFERROR(s_RadSpec!$O$18*W18,".")*$B$75</f>
        <v>9.6255423507623571E-12</v>
      </c>
      <c r="X75" s="38">
        <f>IFERROR(s_RadSpec!$K$18*X18,".")*$B$75</f>
        <v>7.2204312684002804E-13</v>
      </c>
      <c r="Y75" s="47">
        <f t="shared" si="71"/>
        <v>1.2582828170335222E-11</v>
      </c>
      <c r="Z75" s="47">
        <f t="shared" si="71"/>
        <v>1.2625958788464952E-12</v>
      </c>
      <c r="AA75" s="47">
        <f t="shared" si="71"/>
        <v>5.1190147587514496E-12</v>
      </c>
      <c r="AB75" s="47">
        <f t="shared" si="71"/>
        <v>9.6255423507623571E-12</v>
      </c>
      <c r="AC75" s="47">
        <f t="shared" si="71"/>
        <v>7.2204312684002804E-13</v>
      </c>
      <c r="AD75" s="30">
        <f t="shared" si="85"/>
        <v>0.10028581457152887</v>
      </c>
      <c r="AE75" s="30">
        <f t="shared" si="85"/>
        <v>762048643.84690726</v>
      </c>
      <c r="AF75" s="30">
        <f t="shared" si="72"/>
        <v>0.10028581455833123</v>
      </c>
      <c r="AG75" s="38">
        <f>IFERROR(s_RadSpec!$G$18*AG18,".")*$B$75</f>
        <v>4.9857500000000002E-4</v>
      </c>
      <c r="AH75" s="38">
        <f>IFERROR(s_RadSpec!$J$18*AH18,".")*$B$75</f>
        <v>6.5612609383561654E-14</v>
      </c>
      <c r="AI75" s="47">
        <f t="shared" si="73"/>
        <v>4.9857500000000002E-4</v>
      </c>
      <c r="AJ75" s="47">
        <f t="shared" si="73"/>
        <v>6.5612609383561654E-14</v>
      </c>
      <c r="AK75" s="47">
        <f t="shared" si="74"/>
        <v>4.9857500006561268E-4</v>
      </c>
    </row>
    <row r="76" spans="1:37" x14ac:dyDescent="0.25">
      <c r="A76" s="29" t="s">
        <v>318</v>
      </c>
      <c r="B76" s="34">
        <v>1.339E-6</v>
      </c>
      <c r="C76" s="2"/>
      <c r="D76" s="30">
        <f>IFERROR(D27/$B62,0)</f>
        <v>0</v>
      </c>
      <c r="E76" s="30">
        <f>IFERROR(E27/$B62,0)</f>
        <v>0</v>
      </c>
      <c r="F76" s="30">
        <f>IFERROR(F27/$B62,0)</f>
        <v>35944882822.813713</v>
      </c>
      <c r="G76" s="30">
        <f t="shared" si="67"/>
        <v>35944882822.813713</v>
      </c>
      <c r="H76" s="38">
        <f>IFERROR(s_RadSpec!$I$27*H27,".")*$B$76</f>
        <v>0</v>
      </c>
      <c r="I76" s="38">
        <f>IFERROR(s_RadSpec!$G$27*I27,".")*$B$76</f>
        <v>0</v>
      </c>
      <c r="J76" s="38">
        <f>IFERROR(s_RadSpec!$F$27*J27,".")*$B$76</f>
        <v>1.3910185838265054E-15</v>
      </c>
      <c r="K76" s="47">
        <f t="shared" si="68"/>
        <v>0</v>
      </c>
      <c r="L76" s="47">
        <f t="shared" si="68"/>
        <v>0</v>
      </c>
      <c r="M76" s="47">
        <f t="shared" si="68"/>
        <v>1.3910185838265054E-15</v>
      </c>
      <c r="N76" s="47">
        <f t="shared" si="69"/>
        <v>1.3910185838265054E-15</v>
      </c>
      <c r="O76" s="30">
        <f t="shared" ref="O76:AE76" si="86">IFERROR(O27/$B62,0)</f>
        <v>35944882822.813713</v>
      </c>
      <c r="P76" s="30">
        <f t="shared" si="86"/>
        <v>313972727259.03424</v>
      </c>
      <c r="Q76" s="30">
        <f t="shared" si="86"/>
        <v>90535029444.361023</v>
      </c>
      <c r="R76" s="30">
        <f t="shared" si="86"/>
        <v>49539868604.334976</v>
      </c>
      <c r="S76" s="30">
        <f t="shared" si="86"/>
        <v>237631020560.33276</v>
      </c>
      <c r="T76" s="38">
        <f>IFERROR(s_RadSpec!$F$27*T27,".")*$B$76</f>
        <v>1.3910185838265054E-15</v>
      </c>
      <c r="U76" s="38">
        <f>IFERROR(s_RadSpec!$M$27*U27,".")*$B$76</f>
        <v>1.5924950054260266E-16</v>
      </c>
      <c r="V76" s="38">
        <f>IFERROR(s_RadSpec!$N$27*V27,".")*$B$76</f>
        <v>5.5227242214272308E-16</v>
      </c>
      <c r="W76" s="38">
        <f>IFERROR(s_RadSpec!$O$27*W27,".")*$B$76</f>
        <v>1.0092881028680155E-15</v>
      </c>
      <c r="X76" s="38">
        <f>IFERROR(s_RadSpec!$K$27*X27,".")*$B$76</f>
        <v>2.1041023971575873E-16</v>
      </c>
      <c r="Y76" s="47">
        <f t="shared" si="71"/>
        <v>1.3910185838265054E-15</v>
      </c>
      <c r="Z76" s="47">
        <f t="shared" si="71"/>
        <v>1.5924950054260266E-16</v>
      </c>
      <c r="AA76" s="47">
        <f t="shared" si="71"/>
        <v>5.5227242214272308E-16</v>
      </c>
      <c r="AB76" s="47">
        <f t="shared" si="71"/>
        <v>1.0092881028680155E-15</v>
      </c>
      <c r="AC76" s="47">
        <f t="shared" si="71"/>
        <v>2.1041023971575873E-16</v>
      </c>
      <c r="AD76" s="30">
        <f t="shared" si="86"/>
        <v>0</v>
      </c>
      <c r="AE76" s="30">
        <f t="shared" si="86"/>
        <v>2530983207985.8687</v>
      </c>
      <c r="AF76" s="30">
        <f t="shared" si="72"/>
        <v>2530983207985.8687</v>
      </c>
      <c r="AG76" s="38">
        <f>IFERROR(s_RadSpec!$G$27*AG27,".")*$B$76</f>
        <v>0</v>
      </c>
      <c r="AH76" s="38">
        <f>IFERROR(s_RadSpec!$J$27*AH27,".")*$B$76</f>
        <v>1.9755168600976031E-17</v>
      </c>
      <c r="AI76" s="47">
        <f t="shared" si="73"/>
        <v>0</v>
      </c>
      <c r="AJ76" s="47">
        <f t="shared" si="73"/>
        <v>1.9755168600976031E-17</v>
      </c>
      <c r="AK76" s="47">
        <f t="shared" si="74"/>
        <v>1.9755168600976031E-17</v>
      </c>
    </row>
  </sheetData>
  <sheetProtection algorithmName="SHA-512" hashValue="/95QEU3NTeoPhKTc/PveWtTvyE0wnxAqH0Ej/Uug8SIdyahXD5bOhBTD6ySfM8zUB03C+AUEbQjIuhRjDT7zTA==" saltValue="rd/eSg/BlawXSV4R1Vv+lA==" spinCount="100000" sheet="1" objects="1" scenarios="1" formatColumns="0" formatRows="0" autoFilter="0"/>
  <autoFilter ref="A1:AK76" xr:uid="{00000000-0009-0000-0000-000009000000}"/>
  <pageMargins left="0.7" right="0.7" top="0.75" bottom="0.75" header="0.3" footer="0.3"/>
  <pageSetup orientation="portrait" horizontalDpi="1200" verticalDpi="12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tabColor theme="9" tint="-0.499984740745262"/>
  </sheetPr>
  <dimension ref="A1:AK76"/>
  <sheetViews>
    <sheetView zoomScale="90" zoomScaleNormal="90" workbookViewId="0">
      <pane xSplit="2" ySplit="1" topLeftCell="C2" activePane="bottomRight" state="frozen"/>
      <selection activeCell="AA1390" sqref="AA1390"/>
      <selection pane="topRight" activeCell="AA1390" sqref="AA1390"/>
      <selection pane="bottomLeft" activeCell="AA1390" sqref="AA1390"/>
      <selection pane="bottomRight" activeCell="C2" sqref="C2"/>
    </sheetView>
  </sheetViews>
  <sheetFormatPr defaultColWidth="9.140625" defaultRowHeight="15" x14ac:dyDescent="0.25"/>
  <cols>
    <col min="1" max="1" width="15.42578125" style="3" customWidth="1"/>
    <col min="2" max="2" width="13.28515625" style="3" bestFit="1" customWidth="1"/>
    <col min="3" max="3" width="13.28515625" style="3" customWidth="1"/>
    <col min="4" max="4" width="14.42578125" style="2" bestFit="1" customWidth="1"/>
    <col min="5" max="5" width="14.5703125" style="2" bestFit="1" customWidth="1"/>
    <col min="6" max="6" width="14.28515625" style="2" bestFit="1" customWidth="1"/>
    <col min="7" max="9" width="14.140625" style="2" bestFit="1" customWidth="1"/>
    <col min="10" max="10" width="14" style="2" bestFit="1" customWidth="1"/>
    <col min="11" max="12" width="14.5703125" style="2" bestFit="1" customWidth="1"/>
    <col min="13" max="13" width="14.42578125" style="2" bestFit="1" customWidth="1"/>
    <col min="14" max="14" width="14.28515625" style="2" bestFit="1" customWidth="1"/>
    <col min="15" max="15" width="13.5703125" style="2" bestFit="1" customWidth="1"/>
    <col min="16" max="17" width="15.42578125" style="2" bestFit="1" customWidth="1"/>
    <col min="18" max="18" width="16.42578125" style="2" bestFit="1" customWidth="1"/>
    <col min="19" max="19" width="13.85546875" style="2" bestFit="1" customWidth="1"/>
    <col min="20" max="20" width="13.140625" style="2" bestFit="1" customWidth="1"/>
    <col min="21" max="22" width="14.85546875" style="2" bestFit="1" customWidth="1"/>
    <col min="23" max="23" width="16" style="2" bestFit="1" customWidth="1"/>
    <col min="24" max="25" width="13.5703125" style="2" bestFit="1" customWidth="1"/>
    <col min="26" max="26" width="15.42578125" style="2" bestFit="1" customWidth="1"/>
    <col min="27" max="27" width="13" style="2" bestFit="1" customWidth="1"/>
    <col min="28" max="28" width="14.140625" style="2" bestFit="1" customWidth="1"/>
    <col min="29" max="29" width="11.7109375" style="2" bestFit="1" customWidth="1"/>
    <col min="30" max="30" width="11.28515625" style="2" bestFit="1" customWidth="1"/>
    <col min="31" max="31" width="11.5703125" style="2" bestFit="1" customWidth="1"/>
    <col min="32" max="32" width="10.7109375" style="2" bestFit="1" customWidth="1"/>
    <col min="33" max="33" width="11" style="2" bestFit="1" customWidth="1"/>
    <col min="34" max="34" width="11.42578125" style="2" bestFit="1" customWidth="1"/>
    <col min="35" max="35" width="11.5703125" style="2" bestFit="1" customWidth="1"/>
    <col min="36" max="36" width="12" style="2" bestFit="1" customWidth="1"/>
    <col min="37" max="37" width="11.42578125" style="2" bestFit="1" customWidth="1"/>
    <col min="38" max="16384" width="9.140625" style="2"/>
  </cols>
  <sheetData>
    <row r="1" spans="1:37" x14ac:dyDescent="0.25">
      <c r="A1" s="21" t="s">
        <v>51</v>
      </c>
      <c r="B1" s="21" t="s">
        <v>274</v>
      </c>
      <c r="C1" s="108"/>
      <c r="D1" s="22" t="s">
        <v>341</v>
      </c>
      <c r="E1" s="22" t="s">
        <v>342</v>
      </c>
      <c r="F1" s="22" t="s">
        <v>343</v>
      </c>
      <c r="G1" s="22" t="s">
        <v>344</v>
      </c>
      <c r="H1" s="39" t="s">
        <v>353</v>
      </c>
      <c r="I1" s="39" t="s">
        <v>354</v>
      </c>
      <c r="J1" s="39" t="s">
        <v>355</v>
      </c>
      <c r="K1" s="40" t="s">
        <v>356</v>
      </c>
      <c r="L1" s="40" t="s">
        <v>357</v>
      </c>
      <c r="M1" s="40" t="s">
        <v>358</v>
      </c>
      <c r="N1" s="40" t="s">
        <v>359</v>
      </c>
      <c r="O1" s="22" t="s">
        <v>345</v>
      </c>
      <c r="P1" s="24" t="s">
        <v>346</v>
      </c>
      <c r="Q1" s="24" t="s">
        <v>347</v>
      </c>
      <c r="R1" s="24" t="s">
        <v>348</v>
      </c>
      <c r="S1" s="24" t="s">
        <v>349</v>
      </c>
      <c r="T1" s="41" t="s">
        <v>371</v>
      </c>
      <c r="U1" s="41" t="s">
        <v>372</v>
      </c>
      <c r="V1" s="41" t="s">
        <v>373</v>
      </c>
      <c r="W1" s="41" t="s">
        <v>374</v>
      </c>
      <c r="X1" s="41" t="s">
        <v>375</v>
      </c>
      <c r="Y1" s="42" t="s">
        <v>376</v>
      </c>
      <c r="Z1" s="42" t="s">
        <v>377</v>
      </c>
      <c r="AA1" s="42" t="s">
        <v>378</v>
      </c>
      <c r="AB1" s="42" t="s">
        <v>379</v>
      </c>
      <c r="AC1" s="42" t="s">
        <v>380</v>
      </c>
      <c r="AD1" s="24" t="s">
        <v>350</v>
      </c>
      <c r="AE1" s="24" t="s">
        <v>351</v>
      </c>
      <c r="AF1" s="24" t="s">
        <v>352</v>
      </c>
      <c r="AG1" s="41" t="s">
        <v>381</v>
      </c>
      <c r="AH1" s="41" t="s">
        <v>382</v>
      </c>
      <c r="AI1" s="42" t="s">
        <v>383</v>
      </c>
      <c r="AJ1" s="42" t="s">
        <v>384</v>
      </c>
      <c r="AK1" s="42" t="s">
        <v>385</v>
      </c>
    </row>
    <row r="2" spans="1:37" x14ac:dyDescent="0.25">
      <c r="A2" s="23" t="s">
        <v>12</v>
      </c>
      <c r="B2" s="24" t="s">
        <v>289</v>
      </c>
      <c r="C2" s="2"/>
      <c r="D2" s="22">
        <f>IFERROR((s_TR/(s_RadSpec!I2*s_EF_w*s_ED_com*s_IRS_w*(1/1000)))*1,".")</f>
        <v>4027.8728803318968</v>
      </c>
      <c r="E2" s="22">
        <f>IFERROR(IF(A2="H-3",(s_TR/(s_RadSpec!G2*s_EF_w*s_ED_com*(s_ET_w_o+s_ET_w_i)*(1/24)*s_IRA_w*(1/17)*1000))*1,(s_TR/(s_RadSpec!G2*s_EF_w*s_ED_com*(s_ET_w_o+s_ET_w_i)*(1/24)*s_IRA_w*(1/s_PEF_wind)*1000))*1),".")</f>
        <v>15797.913613208446</v>
      </c>
      <c r="F2" s="22">
        <f>IFERROR((s_TR/(s_RadSpec!F2*s_EF_w*(1/365)*s_ED_com*s_RadSpec!Q2*(s_ET_w_o+s_ET_w_i)*(1/24)*s_RadSpec!V2))*1,".")</f>
        <v>20512.286804300216</v>
      </c>
      <c r="G2" s="22">
        <f t="shared" ref="G2:G30" si="0">(IF(AND(ISNUMBER(D2),ISNUMBER(E2),ISNUMBER(F2)),1/((1/D2)+(1/E2)+(1/F2)),IF(AND(ISNUMBER(D2),ISNUMBER(E2),NOT(ISNUMBER(F2))), 1/((1/D2)+(1/E2)),IF(AND(ISNUMBER(D2),NOT(ISNUMBER(E2)),ISNUMBER(F2)),1/((1/D2)+(1/F2)),IF(AND(NOT(ISNUMBER(D2)),ISNUMBER(E2),ISNUMBER(F2)),1/((1/E2)+(1/F2)),IF(AND(ISNUMBER(D2),NOT(ISNUMBER(E2)),NOT(ISNUMBER(F2))),1/((1/D2)),IF(AND(NOT(ISNUMBER(D2)),NOT(ISNUMBER(E2)),ISNUMBER(F2)),1/((1/F2)),IF(AND(NOT(ISNUMBER(D2)),ISNUMBER(E2),NOT(ISNUMBER(F2))),1/((1/E2)),IF(AND(NOT(ISNUMBER(D2)),NOT(ISNUMBER(E2)),NOT(ISNUMBER(F2))),".")))))))))</f>
        <v>2775.3049321221679</v>
      </c>
      <c r="H2" s="43">
        <f t="shared" ref="H2:H30" si="1">s_C*s_EF_w*s_ED_com*s_IRS_w*(1/1000)*1</f>
        <v>137.5</v>
      </c>
      <c r="I2" s="43">
        <f t="shared" ref="I2:I30" si="2">s_C*s_EF_w*s_ED_com*(s_ET_w_o+s_ET_w_i)*(1/24)*s_IRA_w*(1/s_PEF_wind)*1000*1</f>
        <v>0.11080293013295324</v>
      </c>
      <c r="J2" s="43">
        <f>s_C*s_EF_w*(1/365)*s_ED_com*(s_ET_w_o+s_ET_w_i)*(1/24)*s_RadSpec!V2*s_RadSpec!Q2*1</f>
        <v>5.9139211196916189E-2</v>
      </c>
      <c r="K2" s="11"/>
      <c r="L2" s="11"/>
      <c r="M2" s="11"/>
      <c r="N2" s="11"/>
      <c r="O2" s="22">
        <f>IFERROR((s_TR/(s_RadSpec!F2*s_EF_w*(1/365)*s_ED_com*s_RadSpec!Q2*(s_ET_w_o+s_ET_w_i)*(1/24)*s_RadSpec!V2))*1,".")</f>
        <v>20512.286804300216</v>
      </c>
      <c r="P2" s="22">
        <f>IFERROR((s_TR/(s_RadSpec!M2*s_EF_w*(1/365)*s_ED_com*s_RadSpec!R2*(s_ET_w_o+s_ET_w_i)*(1/24)*s_RadSpec!W2))*1,".")</f>
        <v>148063.41488526075</v>
      </c>
      <c r="Q2" s="22">
        <f>IFERROR((s_TR/(s_RadSpec!N2*s_EF_w*(1/365)*s_ED_com*s_RadSpec!S2*(s_ET_w_o+s_ET_w_i)*(1/24)*s_RadSpec!X2))*1,".")</f>
        <v>38842.447303557659</v>
      </c>
      <c r="R2" s="22">
        <f>IFERROR((s_TR/(s_RadSpec!O2*s_EF_w*(1/365)*s_ED_com*s_RadSpec!T2*(s_ET_w_o+s_ET_w_i)*(1/24)*s_RadSpec!Y2))*1,".")</f>
        <v>24027.280902312828</v>
      </c>
      <c r="S2" s="22">
        <f>IFERROR((s_TR/(s_RadSpec!K2*s_EF_w*(1/365)*s_ED_com*s_RadSpec!P2*(s_ET_w_o+s_ET_w_i)*(1/24)*s_RadSpec!U2))*1,".")</f>
        <v>1124806.135978875</v>
      </c>
      <c r="T2" s="43">
        <f>s_C*s_EF_w*(1/365)*s_ED_com*(s_ET_w_o+s_ET_w_i)*(1/24)*s_RadSpec!V2*s_RadSpec!Q2*1</f>
        <v>5.9139211196916189E-2</v>
      </c>
      <c r="U2" s="43">
        <f>s_C*s_EF_w*(1/365)*s_ED_com*(s_ET_w_o+s_ET_w_i)*(1/24)*s_RadSpec!W2*s_RadSpec!R2*1</f>
        <v>2.9248802762000235E-2</v>
      </c>
      <c r="V2" s="43">
        <f>s_C*s_EF_w*(1/365)*s_ED_com*(s_ET_w_o+s_ET_w_i)*(1/24)*s_RadSpec!X2*s_RadSpec!S2*1</f>
        <v>4.3064336728720308E-2</v>
      </c>
      <c r="W2" s="43">
        <f>s_C*s_EF_w*(1/365)*s_ED_com*(s_ET_w_o+s_ET_w_i)*(1/24)*s_RadSpec!Y2*s_RadSpec!T2*1</f>
        <v>5.1808527012467305E-2</v>
      </c>
      <c r="X2" s="43">
        <f>s_C*s_EF_w*(1/365)*s_ED_com*(s_ET_w_o+s_ET_w_i)*(1/24)*s_RadSpec!U2*s_RadSpec!P2*1</f>
        <v>3.6961485010919195E-3</v>
      </c>
      <c r="Y2" s="11"/>
      <c r="Z2" s="11"/>
      <c r="AA2" s="11"/>
      <c r="AB2" s="11"/>
      <c r="AC2" s="11"/>
      <c r="AD2" s="22">
        <f>IFERROR(s_TR/(s_RadSpec!G2*s_EF_w*s_ED_com*(s_ET_w_o+s_ET_w_i)*(1/24)*s_IRA_w),".")</f>
        <v>5.092233071507684E-2</v>
      </c>
      <c r="AE2" s="22">
        <f>IFERROR(s_TR/(s_RadSpec!J2*s_EF_w*(1/365)*s_ED_com*(s_ET_w_o+s_ET_w_i)*(1/24)*s_GSF_a),".")</f>
        <v>618624.52266937145</v>
      </c>
      <c r="AF2" s="22">
        <f t="shared" ref="AF2" si="3">IFERROR(IF(AND(ISNUMBER(AD2),ISNUMBER(AE2)),1/((1/AD2)+(1/AE2)),IF(AND(ISNUMBER(AD2),NOT(ISNUMBER(AE2))),1/((1/AD2)),IF(AND(NOT(ISNUMBER(AD2)),ISNUMBER(AE2)),1/((1/AE2)),IF(AND(NOT(ISNUMBER(AD2)),NOT(ISNUMBER(AE2))),".")))),".")</f>
        <v>5.0922326523384694E-2</v>
      </c>
      <c r="AG2" s="43">
        <f t="shared" ref="AG2:AG30" si="4">s_C*s_EF_w*s_ED_com*(s_ET_w_o+s_ET_w_i)*(1/24)*s_IRA_w*1</f>
        <v>34375</v>
      </c>
      <c r="AH2" s="43">
        <f t="shared" ref="AH2:AH30" si="5">s_C*s_EF_w*(1/365)*s_ED_com*(s_ET_w_o+s_ET_w_i)*(1/24)*s_GSF_a*1</f>
        <v>1.5696347031963471</v>
      </c>
      <c r="AI2" s="11"/>
      <c r="AJ2" s="11"/>
      <c r="AK2" s="11"/>
    </row>
    <row r="3" spans="1:37" x14ac:dyDescent="0.25">
      <c r="A3" s="25" t="s">
        <v>13</v>
      </c>
      <c r="B3" s="24" t="s">
        <v>275</v>
      </c>
      <c r="C3" s="2"/>
      <c r="D3" s="22">
        <f>IFERROR((s_TR/(s_RadSpec!I3*s_EF_w*s_ED_com*s_IRS_w*(1/1000)))*1,".")</f>
        <v>3995.1259463454585</v>
      </c>
      <c r="E3" s="22">
        <f>IFERROR(IF(A3="H-3",(s_TR/(s_RadSpec!G3*s_EF_w*s_ED_com*(s_ET_w_o+s_ET_w_i)*(1/24)*s_IRA_w*(1/17)*1000))*1,(s_TR/(s_RadSpec!G3*s_EF_w*s_ED_com*(s_ET_w_o+s_ET_w_i)*(1/24)*s_IRA_w*(1/s_PEF_wind)*1000))*1),".")</f>
        <v>11956.85226411463</v>
      </c>
      <c r="F3" s="22">
        <f>IFERROR((s_TR/(s_RadSpec!F3*s_EF_w*(1/365)*s_ED_com*s_RadSpec!Q3*(s_ET_w_o+s_ET_w_i)*(1/24)*s_RadSpec!V3))*1,".")</f>
        <v>4008334.5258403104</v>
      </c>
      <c r="G3" s="22">
        <f t="shared" si="0"/>
        <v>2992.3229097518374</v>
      </c>
      <c r="H3" s="43">
        <f t="shared" si="1"/>
        <v>137.5</v>
      </c>
      <c r="I3" s="43">
        <f t="shared" si="2"/>
        <v>0.11080293013295324</v>
      </c>
      <c r="J3" s="43">
        <f>s_C*s_EF_w*(1/365)*s_ED_com*(s_ET_w_o+s_ET_w_i)*(1/24)*s_RadSpec!V3*s_RadSpec!Q3*1</f>
        <v>4.5076688912305335E-4</v>
      </c>
      <c r="K3" s="4"/>
      <c r="L3" s="4"/>
      <c r="M3" s="4"/>
      <c r="N3" s="4"/>
      <c r="O3" s="22">
        <f>IFERROR((s_TR/(s_RadSpec!F3*s_EF_w*(1/365)*s_ED_com*s_RadSpec!Q3*(s_ET_w_o+s_ET_w_i)*(1/24)*s_RadSpec!V3))*1,".")</f>
        <v>4008334.5258403104</v>
      </c>
      <c r="P3" s="22">
        <f>IFERROR((s_TR/(s_RadSpec!M3*s_EF_w*(1/365)*s_ED_com*s_RadSpec!R3*(s_ET_w_o+s_ET_w_i)*(1/24)*s_RadSpec!W3))*1,".")</f>
        <v>11307474.982238051</v>
      </c>
      <c r="Q3" s="22">
        <f>IFERROR((s_TR/(s_RadSpec!N3*s_EF_w*(1/365)*s_ED_com*s_RadSpec!S3*(s_ET_w_o+s_ET_w_i)*(1/24)*s_RadSpec!X3))*1,".")</f>
        <v>4573649.5043918435</v>
      </c>
      <c r="R3" s="22">
        <f>IFERROR((s_TR/(s_RadSpec!O3*s_EF_w*(1/365)*s_ED_com*s_RadSpec!T3*(s_ET_w_o+s_ET_w_i)*(1/24)*s_RadSpec!Y3))*1,".")</f>
        <v>4392333.1431488255</v>
      </c>
      <c r="S3" s="22">
        <f>IFERROR((s_TR/(s_RadSpec!K3*s_EF_w*(1/365)*s_ED_com*s_RadSpec!P3*(s_ET_w_o+s_ET_w_i)*(1/24)*s_RadSpec!U3))*1,".")</f>
        <v>12907592.694386944</v>
      </c>
      <c r="T3" s="43">
        <f>s_C*s_EF_w*(1/365)*s_ED_com*(s_ET_w_o+s_ET_w_i)*(1/24)*s_RadSpec!V3*s_RadSpec!Q3*1</f>
        <v>4.5076688912305335E-4</v>
      </c>
      <c r="U3" s="43">
        <f>s_C*s_EF_w*(1/365)*s_ED_com*(s_ET_w_o+s_ET_w_i)*(1/24)*s_RadSpec!W3*s_RadSpec!R3*1</f>
        <v>3.2147957624042333E-4</v>
      </c>
      <c r="V3" s="43">
        <f>s_C*s_EF_w*(1/365)*s_ED_com*(s_ET_w_o+s_ET_w_i)*(1/24)*s_RadSpec!X3*s_RadSpec!S3*1</f>
        <v>4.2403564369931164E-4</v>
      </c>
      <c r="W3" s="43">
        <f>s_C*s_EF_w*(1/365)*s_ED_com*(s_ET_w_o+s_ET_w_i)*(1/24)*s_RadSpec!Y3*s_RadSpec!T3*1</f>
        <v>4.1135870752332526E-4</v>
      </c>
      <c r="X3" s="43">
        <f>s_C*s_EF_w*(1/365)*s_ED_com*(s_ET_w_o+s_ET_w_i)*(1/24)*s_RadSpec!U3*s_RadSpec!P3*1</f>
        <v>2.073476310761358E-4</v>
      </c>
      <c r="Y3" s="11"/>
      <c r="Z3" s="11"/>
      <c r="AA3" s="11"/>
      <c r="AB3" s="11"/>
      <c r="AC3" s="11"/>
      <c r="AD3" s="22">
        <f>IFERROR(s_TR/(s_RadSpec!G3*s_EF_w*s_ED_com*(s_ET_w_o+s_ET_w_i)*(1/24)*s_IRA_w),".")</f>
        <v>3.8541215011803263E-2</v>
      </c>
      <c r="AE3" s="22">
        <f>IFERROR(s_TR/(s_RadSpec!J3*s_EF_w*(1/365)*s_ED_com*(s_ET_w_o+s_ET_w_i)*(1/24)*s_GSF_a),".")</f>
        <v>548920.35110099148</v>
      </c>
      <c r="AF3" s="22">
        <f>IFERROR(IF(AND(ISNUMBER(AD3),ISNUMBER(AE3)),1/((1/AD3)+(1/AE3)),IF(AND(ISNUMBER(AD3),NOT(ISNUMBER(AE3))),1/((1/AD3)),IF(AND(NOT(ISNUMBER(AD3)),ISNUMBER(AE3)),1/((1/AE3)),IF(AND(NOT(ISNUMBER(AD3)),NOT(ISNUMBER(AE3))),".")))),".")</f>
        <v>3.854121230571822E-2</v>
      </c>
      <c r="AG3" s="43">
        <f t="shared" si="4"/>
        <v>34375</v>
      </c>
      <c r="AH3" s="43">
        <f t="shared" si="5"/>
        <v>1.5696347031963471</v>
      </c>
      <c r="AI3" s="10"/>
      <c r="AJ3" s="10"/>
      <c r="AK3" s="10"/>
    </row>
    <row r="4" spans="1:37" x14ac:dyDescent="0.25">
      <c r="A4" s="23" t="s">
        <v>14</v>
      </c>
      <c r="B4" s="24" t="s">
        <v>289</v>
      </c>
      <c r="C4" s="2"/>
      <c r="D4" s="22" t="str">
        <f>IFERROR((s_TR/(s_RadSpec!I4*s_EF_w*s_ED_com*s_IRS_w*(1/1000)))*1,".")</f>
        <v>.</v>
      </c>
      <c r="E4" s="22" t="str">
        <f>IFERROR(IF(A4="H-3",(s_TR/(s_RadSpec!G4*s_EF_w*s_ED_com*(s_ET_w_o+s_ET_w_i)*(1/24)*s_IRA_w*(1/17)*1000))*1,(s_TR/(s_RadSpec!G4*s_EF_w*s_ED_com*(s_ET_w_o+s_ET_w_i)*(1/24)*s_IRA_w*(1/s_PEF_wind)*1000))*1),".")</f>
        <v>.</v>
      </c>
      <c r="F4" s="22">
        <f>IFERROR((s_TR/(s_RadSpec!F4*s_EF_w*(1/365)*s_ED_com*s_RadSpec!Q4*(s_ET_w_o+s_ET_w_i)*(1/24)*s_RadSpec!V4))*1,".")</f>
        <v>440956.38253448543</v>
      </c>
      <c r="G4" s="22">
        <f t="shared" si="0"/>
        <v>440956.38253448543</v>
      </c>
      <c r="H4" s="43">
        <f t="shared" si="1"/>
        <v>137.5</v>
      </c>
      <c r="I4" s="43">
        <f t="shared" si="2"/>
        <v>0.11080293013295324</v>
      </c>
      <c r="J4" s="43">
        <f>s_C*s_EF_w*(1/365)*s_ED_com*(s_ET_w_o+s_ET_w_i)*(1/24)*s_RadSpec!V4*s_RadSpec!Q4*1</f>
        <v>0.12108610567514676</v>
      </c>
      <c r="K4" s="4"/>
      <c r="L4" s="4"/>
      <c r="M4" s="4"/>
      <c r="N4" s="4"/>
      <c r="O4" s="22">
        <f>IFERROR((s_TR/(s_RadSpec!F4*s_EF_w*(1/365)*s_ED_com*s_RadSpec!Q4*(s_ET_w_o+s_ET_w_i)*(1/24)*s_RadSpec!V4))*1,".")</f>
        <v>440956.38253448543</v>
      </c>
      <c r="P4" s="22">
        <f>IFERROR((s_TR/(s_RadSpec!M4*s_EF_w*(1/365)*s_ED_com*s_RadSpec!R4*(s_ET_w_o+s_ET_w_i)*(1/24)*s_RadSpec!W4))*1,".")</f>
        <v>3109403.5554844174</v>
      </c>
      <c r="Q4" s="22">
        <f>IFERROR((s_TR/(s_RadSpec!N4*s_EF_w*(1/365)*s_ED_com*s_RadSpec!S4*(s_ET_w_o+s_ET_w_i)*(1/24)*s_RadSpec!X4))*1,".")</f>
        <v>810841.500288871</v>
      </c>
      <c r="R4" s="22">
        <f>IFERROR((s_TR/(s_RadSpec!O4*s_EF_w*(1/365)*s_ED_com*s_RadSpec!T4*(s_ET_w_o+s_ET_w_i)*(1/24)*s_RadSpec!Y4))*1,".")</f>
        <v>480568.21361261251</v>
      </c>
      <c r="S4" s="22">
        <f>IFERROR((s_TR/(s_RadSpec!K4*s_EF_w*(1/365)*s_ED_com*s_RadSpec!P4*(s_ET_w_o+s_ET_w_i)*(1/24)*s_RadSpec!U4))*1,".")</f>
        <v>5855911.7437149212</v>
      </c>
      <c r="T4" s="43">
        <f>s_C*s_EF_w*(1/365)*s_ED_com*(s_ET_w_o+s_ET_w_i)*(1/24)*s_RadSpec!V4*s_RadSpec!Q4*1</f>
        <v>0.12108610567514676</v>
      </c>
      <c r="U4" s="43">
        <f>s_C*s_EF_w*(1/365)*s_ED_com*(s_ET_w_o+s_ET_w_i)*(1/24)*s_RadSpec!W4*s_RadSpec!R4*1</f>
        <v>7.4200913242009128E-2</v>
      </c>
      <c r="V4" s="43">
        <f>s_C*s_EF_w*(1/365)*s_ED_com*(s_ET_w_o+s_ET_w_i)*(1/24)*s_RadSpec!X4*s_RadSpec!S4*1</f>
        <v>0.10314742335290283</v>
      </c>
      <c r="W4" s="43">
        <f>s_C*s_EF_w*(1/365)*s_ED_com*(s_ET_w_o+s_ET_w_i)*(1/24)*s_RadSpec!Y4*s_RadSpec!T4*1</f>
        <v>0.11849265507602641</v>
      </c>
      <c r="X4" s="43">
        <f>s_C*s_EF_w*(1/365)*s_ED_com*(s_ET_w_o+s_ET_w_i)*(1/24)*s_RadSpec!U4*s_RadSpec!P4*1</f>
        <v>4.0178933290102962E-2</v>
      </c>
      <c r="Y4" s="11"/>
      <c r="Z4" s="11"/>
      <c r="AA4" s="11"/>
      <c r="AB4" s="11"/>
      <c r="AC4" s="11"/>
      <c r="AD4" s="22" t="str">
        <f>IFERROR(s_TR/(s_RadSpec!G4*s_EF_w*s_ED_com*(s_ET_w_o+s_ET_w_i)*(1/24)*s_IRA_w),".")</f>
        <v>.</v>
      </c>
      <c r="AE4" s="22">
        <f>IFERROR(s_TR/(s_RadSpec!J4*s_EF_w*(1/365)*s_ED_com*(s_ET_w_o+s_ET_w_i)*(1/24)*s_GSF_a),".")</f>
        <v>32633183.552295782</v>
      </c>
      <c r="AF4" s="22">
        <f t="shared" ref="AF4:AF30" si="6">IFERROR(IF(AND(ISNUMBER(AD4),ISNUMBER(AE4)),1/((1/AD4)+(1/AE4)),IF(AND(ISNUMBER(AD4),NOT(ISNUMBER(AE4))),1/((1/AD4)),IF(AND(NOT(ISNUMBER(AD4)),ISNUMBER(AE4)),1/((1/AE4)),IF(AND(NOT(ISNUMBER(AD4)),NOT(ISNUMBER(AE4))),".")))),".")</f>
        <v>32633183.552295785</v>
      </c>
      <c r="AG4" s="43">
        <f t="shared" si="4"/>
        <v>34375</v>
      </c>
      <c r="AH4" s="43">
        <f t="shared" si="5"/>
        <v>1.5696347031963471</v>
      </c>
      <c r="AI4" s="10"/>
      <c r="AJ4" s="10"/>
      <c r="AK4" s="10"/>
    </row>
    <row r="5" spans="1:37" x14ac:dyDescent="0.25">
      <c r="A5" s="23" t="s">
        <v>15</v>
      </c>
      <c r="B5" s="24" t="s">
        <v>289</v>
      </c>
      <c r="C5" s="109"/>
      <c r="D5" s="22" t="str">
        <f>IFERROR((s_TR/(s_RadSpec!I5*s_EF_w*s_ED_com*s_IRS_w*(1/1000)))*1,".")</f>
        <v>.</v>
      </c>
      <c r="E5" s="22" t="str">
        <f>IFERROR(IF(A5="H-3",(s_TR/(s_RadSpec!G5*s_EF_w*s_ED_com*(s_ET_w_o+s_ET_w_i)*(1/24)*s_IRA_w*(1/17)*1000))*1,(s_TR/(s_RadSpec!G5*s_EF_w*s_ED_com*(s_ET_w_o+s_ET_w_i)*(1/24)*s_IRA_w*(1/s_PEF_wind)*1000))*1),".")</f>
        <v>.</v>
      </c>
      <c r="F5" s="22" t="str">
        <f>IFERROR((s_TR/(s_RadSpec!F5*s_EF_w*(1/365)*s_ED_com*s_RadSpec!Q5*(s_ET_w_o+s_ET_w_i)*(1/24)*s_RadSpec!V5))*1,".")</f>
        <v>.</v>
      </c>
      <c r="G5" s="22" t="str">
        <f t="shared" si="0"/>
        <v>.</v>
      </c>
      <c r="H5" s="43">
        <f t="shared" si="1"/>
        <v>137.5</v>
      </c>
      <c r="I5" s="43">
        <f t="shared" si="2"/>
        <v>0.11080293013295324</v>
      </c>
      <c r="J5" s="43">
        <f>s_C*s_EF_w*(1/365)*s_ED_com*(s_ET_w_o+s_ET_w_i)*(1/24)*s_RadSpec!V5*s_RadSpec!Q5*1</f>
        <v>0</v>
      </c>
      <c r="K5" s="4"/>
      <c r="L5" s="4"/>
      <c r="M5" s="4"/>
      <c r="N5" s="4"/>
      <c r="O5" s="22" t="str">
        <f>IFERROR((s_TR/(s_RadSpec!F5*s_EF_w*(1/365)*s_ED_com*s_RadSpec!Q5*(s_ET_w_o+s_ET_w_i)*(1/24)*s_RadSpec!V5))*1,".")</f>
        <v>.</v>
      </c>
      <c r="P5" s="22" t="str">
        <f>IFERROR((s_TR/(s_RadSpec!M5*s_EF_w*(1/365)*s_ED_com*s_RadSpec!R5*(s_ET_w_o+s_ET_w_i)*(1/24)*s_RadSpec!W5))*1,".")</f>
        <v>.</v>
      </c>
      <c r="Q5" s="22" t="str">
        <f>IFERROR((s_TR/(s_RadSpec!N5*s_EF_w*(1/365)*s_ED_com*s_RadSpec!S5*(s_ET_w_o+s_ET_w_i)*(1/24)*s_RadSpec!X5))*1,".")</f>
        <v>.</v>
      </c>
      <c r="R5" s="22" t="str">
        <f>IFERROR((s_TR/(s_RadSpec!O5*s_EF_w*(1/365)*s_ED_com*s_RadSpec!T5*(s_ET_w_o+s_ET_w_i)*(1/24)*s_RadSpec!Y5))*1,".")</f>
        <v>.</v>
      </c>
      <c r="S5" s="22" t="str">
        <f>IFERROR((s_TR/(s_RadSpec!K5*s_EF_w*(1/365)*s_ED_com*s_RadSpec!P5*(s_ET_w_o+s_ET_w_i)*(1/24)*s_RadSpec!U5))*1,".")</f>
        <v>.</v>
      </c>
      <c r="T5" s="43">
        <f>s_C*s_EF_w*(1/365)*s_ED_com*(s_ET_w_o+s_ET_w_i)*(1/24)*s_RadSpec!V5*s_RadSpec!Q5*1</f>
        <v>0</v>
      </c>
      <c r="U5" s="43">
        <f>s_C*s_EF_w*(1/365)*s_ED_com*(s_ET_w_o+s_ET_w_i)*(1/24)*s_RadSpec!W5*s_RadSpec!R5*1</f>
        <v>0</v>
      </c>
      <c r="V5" s="43">
        <f>s_C*s_EF_w*(1/365)*s_ED_com*(s_ET_w_o+s_ET_w_i)*(1/24)*s_RadSpec!X5*s_RadSpec!S5*1</f>
        <v>0</v>
      </c>
      <c r="W5" s="43">
        <f>s_C*s_EF_w*(1/365)*s_ED_com*(s_ET_w_o+s_ET_w_i)*(1/24)*s_RadSpec!Y5*s_RadSpec!T5*1</f>
        <v>0</v>
      </c>
      <c r="X5" s="43">
        <f>s_C*s_EF_w*(1/365)*s_ED_com*(s_ET_w_o+s_ET_w_i)*(1/24)*s_RadSpec!U5*s_RadSpec!P5*1</f>
        <v>0</v>
      </c>
      <c r="Y5" s="11"/>
      <c r="Z5" s="11"/>
      <c r="AA5" s="11"/>
      <c r="AB5" s="11"/>
      <c r="AC5" s="11"/>
      <c r="AD5" s="22" t="str">
        <f>IFERROR(s_TR/(s_RadSpec!G5*s_EF_w*s_ED_com*(s_ET_w_o+s_ET_w_i)*(1/24)*s_IRA_w),".")</f>
        <v>.</v>
      </c>
      <c r="AE5" s="22">
        <f>IFERROR(s_TR/(s_RadSpec!J5*s_EF_w*(1/365)*s_ED_com*(s_ET_w_o+s_ET_w_i)*(1/24)*s_GSF_a),".")</f>
        <v>1033384145.8226998</v>
      </c>
      <c r="AF5" s="22">
        <f t="shared" si="6"/>
        <v>1033384145.8226997</v>
      </c>
      <c r="AG5" s="43">
        <f t="shared" si="4"/>
        <v>34375</v>
      </c>
      <c r="AH5" s="43">
        <f t="shared" si="5"/>
        <v>1.5696347031963471</v>
      </c>
      <c r="AI5" s="10"/>
      <c r="AJ5" s="10"/>
      <c r="AK5" s="10"/>
    </row>
    <row r="6" spans="1:37" x14ac:dyDescent="0.25">
      <c r="A6" s="23" t="s">
        <v>16</v>
      </c>
      <c r="B6" s="24" t="s">
        <v>289</v>
      </c>
      <c r="C6" s="2"/>
      <c r="D6" s="22" t="str">
        <f>IFERROR((s_TR/(s_RadSpec!I6*s_EF_w*s_ED_com*s_IRS_w*(1/1000)))*1,".")</f>
        <v>.</v>
      </c>
      <c r="E6" s="22" t="str">
        <f>IFERROR(IF(A6="H-3",(s_TR/(s_RadSpec!G6*s_EF_w*s_ED_com*(s_ET_w_o+s_ET_w_i)*(1/24)*s_IRA_w*(1/17)*1000))*1,(s_TR/(s_RadSpec!G6*s_EF_w*s_ED_com*(s_ET_w_o+s_ET_w_i)*(1/24)*s_IRA_w*(1/s_PEF_wind)*1000))*1),".")</f>
        <v>.</v>
      </c>
      <c r="F6" s="22">
        <f>IFERROR((s_TR/(s_RadSpec!F6*s_EF_w*(1/365)*s_ED_com*s_RadSpec!Q6*(s_ET_w_o+s_ET_w_i)*(1/24)*s_RadSpec!V6))*1,".")</f>
        <v>79.027948573215298</v>
      </c>
      <c r="G6" s="22">
        <f t="shared" si="0"/>
        <v>79.027948573215298</v>
      </c>
      <c r="H6" s="43">
        <f t="shared" si="1"/>
        <v>137.5</v>
      </c>
      <c r="I6" s="43">
        <f t="shared" si="2"/>
        <v>0.11080293013295324</v>
      </c>
      <c r="J6" s="43">
        <f>s_C*s_EF_w*(1/365)*s_ED_com*(s_ET_w_o+s_ET_w_i)*(1/24)*s_RadSpec!V6*s_RadSpec!Q6*1</f>
        <v>0.23558941220130064</v>
      </c>
      <c r="K6" s="4"/>
      <c r="L6" s="4"/>
      <c r="M6" s="4"/>
      <c r="N6" s="4"/>
      <c r="O6" s="22">
        <f>IFERROR((s_TR/(s_RadSpec!F6*s_EF_w*(1/365)*s_ED_com*s_RadSpec!Q6*(s_ET_w_o+s_ET_w_i)*(1/24)*s_RadSpec!V6))*1,".")</f>
        <v>79.027948573215298</v>
      </c>
      <c r="P6" s="22">
        <f>IFERROR((s_TR/(s_RadSpec!M6*s_EF_w*(1/365)*s_ED_com*s_RadSpec!R6*(s_ET_w_o+s_ET_w_i)*(1/24)*s_RadSpec!W6))*1,".")</f>
        <v>723.81338284307242</v>
      </c>
      <c r="Q6" s="22">
        <f>IFERROR((s_TR/(s_RadSpec!N6*s_EF_w*(1/365)*s_ED_com*s_RadSpec!S6*(s_ET_w_o+s_ET_w_i)*(1/24)*s_RadSpec!X6))*1,".")</f>
        <v>181.38205102807333</v>
      </c>
      <c r="R6" s="22">
        <f>IFERROR((s_TR/(s_RadSpec!O6*s_EF_w*(1/365)*s_ED_com*s_RadSpec!T6*(s_ET_w_o+s_ET_w_i)*(1/24)*s_RadSpec!Y6))*1,".")</f>
        <v>96.72923684746894</v>
      </c>
      <c r="S6" s="22">
        <f>IFERROR((s_TR/(s_RadSpec!K6*s_EF_w*(1/365)*s_ED_com*s_RadSpec!P6*(s_ET_w_o+s_ET_w_i)*(1/24)*s_RadSpec!U6))*1,".")</f>
        <v>1241.7876756188346</v>
      </c>
      <c r="T6" s="43">
        <f>s_C*s_EF_w*(1/365)*s_ED_com*(s_ET_w_o+s_ET_w_i)*(1/24)*s_RadSpec!V6*s_RadSpec!Q6*1</f>
        <v>0.23558941220130064</v>
      </c>
      <c r="U6" s="43">
        <f>s_C*s_EF_w*(1/365)*s_ED_com*(s_ET_w_o+s_ET_w_i)*(1/24)*s_RadSpec!W6*s_RadSpec!R6*1</f>
        <v>0.12619731111622734</v>
      </c>
      <c r="V6" s="43">
        <f>s_C*s_EF_w*(1/365)*s_ED_com*(s_ET_w_o+s_ET_w_i)*(1/24)*s_RadSpec!X6*s_RadSpec!S6*1</f>
        <v>0.17858235654097818</v>
      </c>
      <c r="W6" s="43">
        <f>s_C*s_EF_w*(1/365)*s_ED_com*(s_ET_w_o+s_ET_w_i)*(1/24)*s_RadSpec!Y6*s_RadSpec!T6*1</f>
        <v>0.21594974260535738</v>
      </c>
      <c r="X6" s="43">
        <f>s_C*s_EF_w*(1/365)*s_ED_com*(s_ET_w_o+s_ET_w_i)*(1/24)*s_RadSpec!U6*s_RadSpec!P6*1</f>
        <v>7.5128424657534221E-2</v>
      </c>
      <c r="Y6" s="11"/>
      <c r="Z6" s="11"/>
      <c r="AA6" s="11"/>
      <c r="AB6" s="11"/>
      <c r="AC6" s="11"/>
      <c r="AD6" s="22" t="str">
        <f>IFERROR(s_TR/(s_RadSpec!G6*s_EF_w*s_ED_com*(s_ET_w_o+s_ET_w_i)*(1/24)*s_IRA_w),".")</f>
        <v>.</v>
      </c>
      <c r="AE6" s="22">
        <f>IFERROR(s_TR/(s_RadSpec!J6*s_EF_w*(1/365)*s_ED_com*(s_ET_w_o+s_ET_w_i)*(1/24)*s_GSF_a),".")</f>
        <v>12630.250671166332</v>
      </c>
      <c r="AF6" s="22">
        <f t="shared" si="6"/>
        <v>12630.250671166332</v>
      </c>
      <c r="AG6" s="43">
        <f t="shared" si="4"/>
        <v>34375</v>
      </c>
      <c r="AH6" s="43">
        <f t="shared" si="5"/>
        <v>1.5696347031963471</v>
      </c>
      <c r="AI6" s="10"/>
      <c r="AJ6" s="10"/>
      <c r="AK6" s="10"/>
    </row>
    <row r="7" spans="1:37" x14ac:dyDescent="0.25">
      <c r="A7" s="23" t="s">
        <v>17</v>
      </c>
      <c r="B7" s="24" t="s">
        <v>289</v>
      </c>
      <c r="C7" s="109"/>
      <c r="D7" s="22">
        <f>IFERROR((s_TR/(s_RadSpec!I7*s_EF_w*s_ED_com*s_IRS_w*(1/1000)))*1,".")</f>
        <v>97307.028000097314</v>
      </c>
      <c r="E7" s="22">
        <f>IFERROR(IF(A7="H-3",(s_TR/(s_RadSpec!G7*s_EF_w*s_ED_com*(s_ET_w_o+s_ET_w_i)*(1/24)*s_IRA_w*(1/17)*1000))*1,(s_TR/(s_RadSpec!G7*s_EF_w*s_ED_com*(s_ET_w_o+s_ET_w_i)*(1/24)*s_IRA_w*(1/s_PEF_wind)*1000))*1),".")</f>
        <v>991543.84629243263</v>
      </c>
      <c r="F7" s="22">
        <f>IFERROR((s_TR/(s_RadSpec!F7*s_EF_w*(1/365)*s_ED_com*s_RadSpec!Q7*(s_ET_w_o+s_ET_w_i)*(1/24)*s_RadSpec!V7))*1,".")</f>
        <v>165944.89932919262</v>
      </c>
      <c r="G7" s="22">
        <f t="shared" si="0"/>
        <v>57765.486871481844</v>
      </c>
      <c r="H7" s="43">
        <f t="shared" si="1"/>
        <v>137.5</v>
      </c>
      <c r="I7" s="43">
        <f t="shared" si="2"/>
        <v>0.11080293013295324</v>
      </c>
      <c r="J7" s="43">
        <f>s_C*s_EF_w*(1/365)*s_ED_com*(s_ET_w_o+s_ET_w_i)*(1/24)*s_RadSpec!V7*s_RadSpec!Q7*1</f>
        <v>0.10888098953817704</v>
      </c>
      <c r="K7" s="4"/>
      <c r="L7" s="4"/>
      <c r="M7" s="4"/>
      <c r="N7" s="4"/>
      <c r="O7" s="22">
        <f>IFERROR((s_TR/(s_RadSpec!F7*s_EF_w*(1/365)*s_ED_com*s_RadSpec!Q7*(s_ET_w_o+s_ET_w_i)*(1/24)*s_RadSpec!V7))*1,".")</f>
        <v>165944.89932919262</v>
      </c>
      <c r="P7" s="22">
        <f>IFERROR((s_TR/(s_RadSpec!M7*s_EF_w*(1/365)*s_ED_com*s_RadSpec!R7*(s_ET_w_o+s_ET_w_i)*(1/24)*s_RadSpec!W7))*1,".")</f>
        <v>765258.1002249415</v>
      </c>
      <c r="Q7" s="22">
        <f>IFERROR((s_TR/(s_RadSpec!N7*s_EF_w*(1/365)*s_ED_com*s_RadSpec!S7*(s_ET_w_o+s_ET_w_i)*(1/24)*s_RadSpec!X7))*1,".")</f>
        <v>260447.30986862781</v>
      </c>
      <c r="R7" s="22">
        <f>IFERROR((s_TR/(s_RadSpec!O7*s_EF_w*(1/365)*s_ED_com*s_RadSpec!T7*(s_ET_w_o+s_ET_w_i)*(1/24)*s_RadSpec!Y7))*1,".")</f>
        <v>183335.43435043469</v>
      </c>
      <c r="S7" s="22">
        <f>IFERROR((s_TR/(s_RadSpec!K7*s_EF_w*(1/365)*s_ED_com*s_RadSpec!P7*(s_ET_w_o+s_ET_w_i)*(1/24)*s_RadSpec!U7))*1,".")</f>
        <v>259255.42796089043</v>
      </c>
      <c r="T7" s="43">
        <f>s_C*s_EF_w*(1/365)*s_ED_com*(s_ET_w_o+s_ET_w_i)*(1/24)*s_RadSpec!V7*s_RadSpec!Q7*1</f>
        <v>0.10888098953817704</v>
      </c>
      <c r="U7" s="43">
        <f>s_C*s_EF_w*(1/365)*s_ED_com*(s_ET_w_o+s_ET_w_i)*(1/24)*s_RadSpec!W7*s_RadSpec!R7*1</f>
        <v>6.8440865837080381E-2</v>
      </c>
      <c r="V7" s="43">
        <f>s_C*s_EF_w*(1/365)*s_ED_com*(s_ET_w_o+s_ET_w_i)*(1/24)*s_RadSpec!X7*s_RadSpec!S7*1</f>
        <v>9.3418259023354558E-2</v>
      </c>
      <c r="W7" s="43">
        <f>s_C*s_EF_w*(1/365)*s_ED_com*(s_ET_w_o+s_ET_w_i)*(1/24)*s_RadSpec!Y7*s_RadSpec!T7*1</f>
        <v>0.10155237048311634</v>
      </c>
      <c r="X7" s="43">
        <f>s_C*s_EF_w*(1/365)*s_ED_com*(s_ET_w_o+s_ET_w_i)*(1/24)*s_RadSpec!U7*s_RadSpec!P7*1</f>
        <v>3.9993222899932249E-2</v>
      </c>
      <c r="Y7" s="11"/>
      <c r="Z7" s="11"/>
      <c r="AA7" s="11"/>
      <c r="AB7" s="11"/>
      <c r="AC7" s="11"/>
      <c r="AD7" s="22">
        <f>IFERROR(s_TR/(s_RadSpec!G7*s_EF_w*s_ED_com*(s_ET_w_o+s_ET_w_i)*(1/24)*s_IRA_w),".")</f>
        <v>3.1961007570763673</v>
      </c>
      <c r="AE7" s="22">
        <f>IFERROR(s_TR/(s_RadSpec!J7*s_EF_w*(1/365)*s_ED_com*(s_ET_w_o+s_ET_w_i)*(1/24)*s_GSF_a),".")</f>
        <v>6022371.1809534831</v>
      </c>
      <c r="AF7" s="22">
        <f t="shared" si="6"/>
        <v>3.1960990608915387</v>
      </c>
      <c r="AG7" s="43">
        <f t="shared" si="4"/>
        <v>34375</v>
      </c>
      <c r="AH7" s="43">
        <f t="shared" si="5"/>
        <v>1.5696347031963471</v>
      </c>
      <c r="AI7" s="10"/>
      <c r="AJ7" s="10"/>
      <c r="AK7" s="10"/>
    </row>
    <row r="8" spans="1:37" x14ac:dyDescent="0.25">
      <c r="A8" s="23" t="s">
        <v>18</v>
      </c>
      <c r="B8" s="24" t="s">
        <v>289</v>
      </c>
      <c r="C8" s="2"/>
      <c r="D8" s="22">
        <f>IFERROR((s_TR/(s_RadSpec!I8*s_EF_w*s_ED_com*s_IRS_w*(1/1000)))*1,".")</f>
        <v>1146792.2786475879</v>
      </c>
      <c r="E8" s="22">
        <f>IFERROR(IF(A8="H-3",(s_TR/(s_RadSpec!G8*s_EF_w*s_ED_com*(s_ET_w_o+s_ET_w_i)*(1/24)*s_IRA_w*(1/17)*1000))*1,(s_TR/(s_RadSpec!G8*s_EF_w*s_ED_com*(s_ET_w_o+s_ET_w_i)*(1/24)*s_IRA_w*(1/s_PEF_wind)*1000))*1),".")</f>
        <v>6097994.6546984613</v>
      </c>
      <c r="F8" s="22">
        <f>IFERROR((s_TR/(s_RadSpec!F8*s_EF_w*(1/365)*s_ED_com*s_RadSpec!Q8*(s_ET_w_o+s_ET_w_i)*(1/24)*s_RadSpec!V8))*1,".")</f>
        <v>486.21175280198338</v>
      </c>
      <c r="G8" s="22">
        <f t="shared" si="0"/>
        <v>485.96696711503597</v>
      </c>
      <c r="H8" s="43">
        <f t="shared" si="1"/>
        <v>137.5</v>
      </c>
      <c r="I8" s="43">
        <f t="shared" si="2"/>
        <v>0.11080293013295324</v>
      </c>
      <c r="J8" s="43">
        <f>s_C*s_EF_w*(1/365)*s_ED_com*(s_ET_w_o+s_ET_w_i)*(1/24)*s_RadSpec!V8*s_RadSpec!Q8*1</f>
        <v>0.18940258751902581</v>
      </c>
      <c r="K8" s="4"/>
      <c r="L8" s="4"/>
      <c r="M8" s="4"/>
      <c r="N8" s="4"/>
      <c r="O8" s="22">
        <f>IFERROR((s_TR/(s_RadSpec!F8*s_EF_w*(1/365)*s_ED_com*s_RadSpec!Q8*(s_ET_w_o+s_ET_w_i)*(1/24)*s_RadSpec!V8))*1,".")</f>
        <v>486.21175280198338</v>
      </c>
      <c r="P8" s="22">
        <f>IFERROR((s_TR/(s_RadSpec!M8*s_EF_w*(1/365)*s_ED_com*s_RadSpec!R8*(s_ET_w_o+s_ET_w_i)*(1/24)*s_RadSpec!W8))*1,".")</f>
        <v>4117.366561884126</v>
      </c>
      <c r="Q8" s="22">
        <f>IFERROR((s_TR/(s_RadSpec!N8*s_EF_w*(1/365)*s_ED_com*s_RadSpec!S8*(s_ET_w_o+s_ET_w_i)*(1/24)*s_RadSpec!X8))*1,".")</f>
        <v>1075.7587971068322</v>
      </c>
      <c r="R8" s="22">
        <f>IFERROR((s_TR/(s_RadSpec!O8*s_EF_w*(1/365)*s_ED_com*s_RadSpec!T8*(s_ET_w_o+s_ET_w_i)*(1/24)*s_RadSpec!Y8))*1,".")</f>
        <v>651.97737906794941</v>
      </c>
      <c r="S8" s="22">
        <f>IFERROR((s_TR/(s_RadSpec!K8*s_EF_w*(1/365)*s_ED_com*s_RadSpec!P8*(s_ET_w_o+s_ET_w_i)*(1/24)*s_RadSpec!U8))*1,".")</f>
        <v>7466.0607342686508</v>
      </c>
      <c r="T8" s="43">
        <f>s_C*s_EF_w*(1/365)*s_ED_com*(s_ET_w_o+s_ET_w_i)*(1/24)*s_RadSpec!V8*s_RadSpec!Q8*1</f>
        <v>0.18940258751902581</v>
      </c>
      <c r="U8" s="43">
        <f>s_C*s_EF_w*(1/365)*s_ED_com*(s_ET_w_o+s_ET_w_i)*(1/24)*s_RadSpec!W8*s_RadSpec!R8*1</f>
        <v>0.10317732115677322</v>
      </c>
      <c r="V8" s="43">
        <f>s_C*s_EF_w*(1/365)*s_ED_com*(s_ET_w_o+s_ET_w_i)*(1/24)*s_RadSpec!X8*s_RadSpec!S8*1</f>
        <v>0.14135681669928246</v>
      </c>
      <c r="W8" s="43">
        <f>s_C*s_EF_w*(1/365)*s_ED_com*(s_ET_w_o+s_ET_w_i)*(1/24)*s_RadSpec!Y8*s_RadSpec!T8*1</f>
        <v>0.15417792140973693</v>
      </c>
      <c r="X8" s="43">
        <f>s_C*s_EF_w*(1/365)*s_ED_com*(s_ET_w_o+s_ET_w_i)*(1/24)*s_RadSpec!U8*s_RadSpec!P8*1</f>
        <v>5.5684659708632324E-2</v>
      </c>
      <c r="Y8" s="11"/>
      <c r="Z8" s="11"/>
      <c r="AA8" s="11"/>
      <c r="AB8" s="11"/>
      <c r="AC8" s="11"/>
      <c r="AD8" s="22">
        <f>IFERROR(s_TR/(s_RadSpec!G8*s_EF_w*s_ED_com*(s_ET_w_o+s_ET_w_i)*(1/24)*s_IRA_w),".")</f>
        <v>19.656019656019662</v>
      </c>
      <c r="AE8" s="22">
        <f>IFERROR(s_TR/(s_RadSpec!J8*s_EF_w*(1/365)*s_ED_com*(s_ET_w_o+s_ET_w_i)*(1/24)*s_GSF_a),".")</f>
        <v>59827.503179208943</v>
      </c>
      <c r="AF8" s="22">
        <f t="shared" si="6"/>
        <v>19.649563892473161</v>
      </c>
      <c r="AG8" s="43">
        <f t="shared" si="4"/>
        <v>34375</v>
      </c>
      <c r="AH8" s="43">
        <f t="shared" si="5"/>
        <v>1.5696347031963471</v>
      </c>
      <c r="AI8" s="10"/>
      <c r="AJ8" s="10"/>
      <c r="AK8" s="10"/>
    </row>
    <row r="9" spans="1:37" x14ac:dyDescent="0.25">
      <c r="A9" s="23" t="s">
        <v>19</v>
      </c>
      <c r="B9" s="24" t="s">
        <v>289</v>
      </c>
      <c r="C9" s="109"/>
      <c r="D9" s="22">
        <f>IFERROR((s_TR/(s_RadSpec!I9*s_EF_w*s_ED_com*s_IRS_w*(1/1000)))*1,".")</f>
        <v>2469349.2030175449</v>
      </c>
      <c r="E9" s="22">
        <f>IFERROR(IF(A9="H-3",(s_TR/(s_RadSpec!G9*s_EF_w*s_ED_com*(s_ET_w_o+s_ET_w_i)*(1/24)*s_IRA_w*(1/17)*1000))*1,(s_TR/(s_RadSpec!G9*s_EF_w*s_ED_com*(s_ET_w_o+s_ET_w_i)*(1/24)*s_IRA_w*(1/s_PEF_wind)*1000))*1),".")</f>
        <v>7301805.8972117472</v>
      </c>
      <c r="F9" s="22">
        <f>IFERROR((s_TR/(s_RadSpec!F9*s_EF_w*(1/365)*s_ED_com*s_RadSpec!Q9*(s_ET_w_o+s_ET_w_i)*(1/24)*s_RadSpec!V9))*1,".")</f>
        <v>17.702045386220892</v>
      </c>
      <c r="G9" s="22">
        <f t="shared" si="0"/>
        <v>17.701875571300203</v>
      </c>
      <c r="H9" s="43">
        <f t="shared" si="1"/>
        <v>137.5</v>
      </c>
      <c r="I9" s="43">
        <f t="shared" si="2"/>
        <v>0.11080293013295324</v>
      </c>
      <c r="J9" s="43">
        <f>s_C*s_EF_w*(1/365)*s_ED_com*(s_ET_w_o+s_ET_w_i)*(1/24)*s_RadSpec!V9*s_RadSpec!Q9*1</f>
        <v>0.38458311949784862</v>
      </c>
      <c r="K9" s="4"/>
      <c r="L9" s="4"/>
      <c r="M9" s="4"/>
      <c r="N9" s="4"/>
      <c r="O9" s="22">
        <f>IFERROR((s_TR/(s_RadSpec!F9*s_EF_w*(1/365)*s_ED_com*s_RadSpec!Q9*(s_ET_w_o+s_ET_w_i)*(1/24)*s_RadSpec!V9))*1,".")</f>
        <v>17.702045386220892</v>
      </c>
      <c r="P9" s="22">
        <f>IFERROR((s_TR/(s_RadSpec!M9*s_EF_w*(1/365)*s_ED_com*s_RadSpec!R9*(s_ET_w_o+s_ET_w_i)*(1/24)*s_RadSpec!W9))*1,".")</f>
        <v>200.75260887433728</v>
      </c>
      <c r="Q9" s="22">
        <f>IFERROR((s_TR/(s_RadSpec!N9*s_EF_w*(1/365)*s_ED_com*s_RadSpec!S9*(s_ET_w_o+s_ET_w_i)*(1/24)*s_RadSpec!X9))*1,".")</f>
        <v>49.161744827673417</v>
      </c>
      <c r="R9" s="22">
        <f>IFERROR((s_TR/(s_RadSpec!O9*s_EF_w*(1/365)*s_ED_com*s_RadSpec!T9*(s_ET_w_o+s_ET_w_i)*(1/24)*s_RadSpec!Y9))*1,".")</f>
        <v>25.146990620780524</v>
      </c>
      <c r="S9" s="22">
        <f>IFERROR((s_TR/(s_RadSpec!K9*s_EF_w*(1/365)*s_ED_com*s_RadSpec!P9*(s_ET_w_o+s_ET_w_i)*(1/24)*s_RadSpec!U9))*1,".")</f>
        <v>367.22643535194544</v>
      </c>
      <c r="T9" s="43">
        <f>s_C*s_EF_w*(1/365)*s_ED_com*(s_ET_w_o+s_ET_w_i)*(1/24)*s_RadSpec!V9*s_RadSpec!Q9*1</f>
        <v>0.38458311949784862</v>
      </c>
      <c r="U9" s="43">
        <f>s_C*s_EF_w*(1/365)*s_ED_com*(s_ET_w_o+s_ET_w_i)*(1/24)*s_RadSpec!W9*s_RadSpec!R9*1</f>
        <v>0.18776938505526386</v>
      </c>
      <c r="V9" s="43">
        <f>s_C*s_EF_w*(1/365)*s_ED_com*(s_ET_w_o+s_ET_w_i)*(1/24)*s_RadSpec!X9*s_RadSpec!S9*1</f>
        <v>0.26686208497794273</v>
      </c>
      <c r="W9" s="43">
        <f>s_C*s_EF_w*(1/365)*s_ED_com*(s_ET_w_o+s_ET_w_i)*(1/24)*s_RadSpec!Y9*s_RadSpec!T9*1</f>
        <v>0.32373715753424659</v>
      </c>
      <c r="X9" s="43">
        <f>s_C*s_EF_w*(1/365)*s_ED_com*(s_ET_w_o+s_ET_w_i)*(1/24)*s_RadSpec!U9*s_RadSpec!P9*1</f>
        <v>0.10600776812562643</v>
      </c>
      <c r="Y9" s="11"/>
      <c r="Z9" s="11"/>
      <c r="AA9" s="11"/>
      <c r="AB9" s="11"/>
      <c r="AC9" s="11"/>
      <c r="AD9" s="22">
        <f>IFERROR(s_TR/(s_RadSpec!G9*s_EF_w*s_ED_com*(s_ET_w_o+s_ET_w_i)*(1/24)*s_IRA_w),".")</f>
        <v>23.536334215945867</v>
      </c>
      <c r="AE9" s="22">
        <f>IFERROR(s_TR/(s_RadSpec!J9*s_EF_w*(1/365)*s_ED_com*(s_ET_w_o+s_ET_w_i)*(1/24)*s_GSF_a),".")</f>
        <v>4761.1416142616554</v>
      </c>
      <c r="AF9" s="22">
        <f t="shared" si="6"/>
        <v>23.420556511722125</v>
      </c>
      <c r="AG9" s="43">
        <f t="shared" si="4"/>
        <v>34375</v>
      </c>
      <c r="AH9" s="43">
        <f t="shared" si="5"/>
        <v>1.5696347031963471</v>
      </c>
      <c r="AI9" s="10"/>
      <c r="AJ9" s="10"/>
      <c r="AK9" s="10"/>
    </row>
    <row r="10" spans="1:37" x14ac:dyDescent="0.25">
      <c r="A10" s="25" t="s">
        <v>20</v>
      </c>
      <c r="B10" s="24" t="s">
        <v>275</v>
      </c>
      <c r="C10" s="2"/>
      <c r="D10" s="22">
        <f>IFERROR((s_TR/(s_RadSpec!I10*s_EF_w*s_ED_com*s_IRS_w*(1/1000)))*1,".")</f>
        <v>11441.222151350206</v>
      </c>
      <c r="E10" s="22">
        <f>IFERROR(IF(A10="H-3",(s_TR/(s_RadSpec!G10*s_EF_w*s_ED_com*(s_ET_w_o+s_ET_w_i)*(1/24)*s_IRA_w*(1/17)*1000))*1,(s_TR/(s_RadSpec!G10*s_EF_w*s_ED_com*(s_ET_w_o+s_ET_w_i)*(1/24)*s_IRA_w*(1/s_PEF_wind)*1000))*1),".")</f>
        <v>4011838.5886174073</v>
      </c>
      <c r="F10" s="22">
        <f>IFERROR((s_TR/(s_RadSpec!F10*s_EF_w*(1/365)*s_ED_com*s_RadSpec!Q10*(s_ET_w_o+s_ET_w_i)*(1/24)*s_RadSpec!V10))*1,".")</f>
        <v>450431.89346158871</v>
      </c>
      <c r="G10" s="22">
        <f t="shared" si="0"/>
        <v>11126.861340145377</v>
      </c>
      <c r="H10" s="43">
        <f t="shared" si="1"/>
        <v>137.5</v>
      </c>
      <c r="I10" s="43">
        <f t="shared" si="2"/>
        <v>0.11080293013295324</v>
      </c>
      <c r="J10" s="43">
        <f>s_C*s_EF_w*(1/365)*s_ED_com*(s_ET_w_o+s_ET_w_i)*(1/24)*s_RadSpec!V10*s_RadSpec!Q10*1</f>
        <v>0.20098980955562981</v>
      </c>
      <c r="K10" s="4"/>
      <c r="L10" s="4"/>
      <c r="M10" s="4"/>
      <c r="N10" s="4"/>
      <c r="O10" s="22">
        <f>IFERROR((s_TR/(s_RadSpec!F10*s_EF_w*(1/365)*s_ED_com*s_RadSpec!Q10*(s_ET_w_o+s_ET_w_i)*(1/24)*s_RadSpec!V10))*1,".")</f>
        <v>450431.89346158871</v>
      </c>
      <c r="P10" s="22">
        <f>IFERROR((s_TR/(s_RadSpec!M10*s_EF_w*(1/365)*s_ED_com*s_RadSpec!R10*(s_ET_w_o+s_ET_w_i)*(1/24)*s_RadSpec!W10))*1,".")</f>
        <v>2014533.7408933809</v>
      </c>
      <c r="Q10" s="22">
        <f>IFERROR((s_TR/(s_RadSpec!N10*s_EF_w*(1/365)*s_ED_com*s_RadSpec!S10*(s_ET_w_o+s_ET_w_i)*(1/24)*s_RadSpec!X10))*1,".")</f>
        <v>652775.28591987269</v>
      </c>
      <c r="R10" s="22">
        <f>IFERROR((s_TR/(s_RadSpec!O10*s_EF_w*(1/365)*s_ED_com*s_RadSpec!T10*(s_ET_w_o+s_ET_w_i)*(1/24)*s_RadSpec!Y10))*1,".")</f>
        <v>467337.64038253075</v>
      </c>
      <c r="S10" s="22">
        <f>IFERROR((s_TR/(s_RadSpec!K10*s_EF_w*(1/365)*s_ED_com*s_RadSpec!P10*(s_ET_w_o+s_ET_w_i)*(1/24)*s_RadSpec!U10))*1,".")</f>
        <v>1177450.6336254212</v>
      </c>
      <c r="T10" s="43">
        <f>s_C*s_EF_w*(1/365)*s_ED_com*(s_ET_w_o+s_ET_w_i)*(1/24)*s_RadSpec!V10*s_RadSpec!Q10*1</f>
        <v>0.20098980955562981</v>
      </c>
      <c r="U10" s="43">
        <f>s_C*s_EF_w*(1/365)*s_ED_com*(s_ET_w_o+s_ET_w_i)*(1/24)*s_RadSpec!W10*s_RadSpec!R10*1</f>
        <v>0.1289830256104825</v>
      </c>
      <c r="V10" s="43">
        <f>s_C*s_EF_w*(1/365)*s_ED_com*(s_ET_w_o+s_ET_w_i)*(1/24)*s_RadSpec!X10*s_RadSpec!S10*1</f>
        <v>0.18061539684366895</v>
      </c>
      <c r="W10" s="43">
        <f>s_C*s_EF_w*(1/365)*s_ED_com*(s_ET_w_o+s_ET_w_i)*(1/24)*s_RadSpec!Y10*s_RadSpec!T10*1</f>
        <v>0.19747656813266046</v>
      </c>
      <c r="X10" s="43">
        <f>s_C*s_EF_w*(1/365)*s_ED_com*(s_ET_w_o+s_ET_w_i)*(1/24)*s_RadSpec!U10*s_RadSpec!P10*1</f>
        <v>7.6726124780886834E-2</v>
      </c>
      <c r="Y10" s="11"/>
      <c r="Z10" s="11"/>
      <c r="AA10" s="11"/>
      <c r="AB10" s="11"/>
      <c r="AC10" s="11"/>
      <c r="AD10" s="22">
        <f>IFERROR(s_TR/(s_RadSpec!G10*s_EF_w*s_ED_com*(s_ET_w_o+s_ET_w_i)*(1/24)*s_IRA_w),".")</f>
        <v>12.931591878960301</v>
      </c>
      <c r="AE10" s="22">
        <f>IFERROR(s_TR/(s_RadSpec!J10*s_EF_w*(1/365)*s_ED_com*(s_ET_w_o+s_ET_w_i)*(1/24)*s_GSF_a),".")</f>
        <v>19626864.352316026</v>
      </c>
      <c r="AF10" s="22">
        <f t="shared" si="6"/>
        <v>12.931583358701774</v>
      </c>
      <c r="AG10" s="43">
        <f t="shared" si="4"/>
        <v>34375</v>
      </c>
      <c r="AH10" s="43">
        <f t="shared" si="5"/>
        <v>1.5696347031963471</v>
      </c>
      <c r="AI10" s="10"/>
      <c r="AJ10" s="10"/>
      <c r="AK10" s="10"/>
    </row>
    <row r="11" spans="1:37" x14ac:dyDescent="0.25">
      <c r="A11" s="23" t="s">
        <v>21</v>
      </c>
      <c r="B11" s="24" t="s">
        <v>289</v>
      </c>
      <c r="C11" s="2"/>
      <c r="D11" s="22" t="str">
        <f>IFERROR((s_TR/(s_RadSpec!I11*s_EF_w*s_ED_com*s_IRS_w*(1/1000)))*1,".")</f>
        <v>.</v>
      </c>
      <c r="E11" s="22" t="str">
        <f>IFERROR(IF(A11="H-3",(s_TR/(s_RadSpec!G11*s_EF_w*s_ED_com*(s_ET_w_o+s_ET_w_i)*(1/24)*s_IRA_w*(1/17)*1000))*1,(s_TR/(s_RadSpec!G11*s_EF_w*s_ED_com*(s_ET_w_o+s_ET_w_i)*(1/24)*s_IRA_w*(1/s_PEF_wind)*1000))*1),".")</f>
        <v>.</v>
      </c>
      <c r="F11" s="22">
        <f>IFERROR((s_TR/(s_RadSpec!F11*s_EF_w*(1/365)*s_ED_com*s_RadSpec!Q11*(s_ET_w_o+s_ET_w_i)*(1/24)*s_RadSpec!V11))*1,".")</f>
        <v>7094.2571502794317</v>
      </c>
      <c r="G11" s="22">
        <f t="shared" si="0"/>
        <v>7094.2571502794317</v>
      </c>
      <c r="H11" s="43">
        <f t="shared" si="1"/>
        <v>137.5</v>
      </c>
      <c r="I11" s="43">
        <f t="shared" si="2"/>
        <v>0.11080293013295324</v>
      </c>
      <c r="J11" s="43">
        <f>s_C*s_EF_w*(1/365)*s_ED_com*(s_ET_w_o+s_ET_w_i)*(1/24)*s_RadSpec!V11*s_RadSpec!Q11*1</f>
        <v>6.7217297878055346E-2</v>
      </c>
      <c r="K11" s="4"/>
      <c r="L11" s="4"/>
      <c r="M11" s="4"/>
      <c r="N11" s="4"/>
      <c r="O11" s="22">
        <f>IFERROR((s_TR/(s_RadSpec!F11*s_EF_w*(1/365)*s_ED_com*s_RadSpec!Q11*(s_ET_w_o+s_ET_w_i)*(1/24)*s_RadSpec!V11))*1,".")</f>
        <v>7094.2571502794317</v>
      </c>
      <c r="P11" s="22">
        <f>IFERROR((s_TR/(s_RadSpec!M11*s_EF_w*(1/365)*s_ED_com*s_RadSpec!R11*(s_ET_w_o+s_ET_w_i)*(1/24)*s_RadSpec!W11))*1,".")</f>
        <v>36774.492926136889</v>
      </c>
      <c r="Q11" s="22">
        <f>IFERROR((s_TR/(s_RadSpec!N11*s_EF_w*(1/365)*s_ED_com*s_RadSpec!S11*(s_ET_w_o+s_ET_w_i)*(1/24)*s_RadSpec!X11))*1,".")</f>
        <v>10344.019530920519</v>
      </c>
      <c r="R11" s="22">
        <f>IFERROR((s_TR/(s_RadSpec!O11*s_EF_w*(1/365)*s_ED_com*s_RadSpec!T11*(s_ET_w_o+s_ET_w_i)*(1/24)*s_RadSpec!Y11))*1,".")</f>
        <v>6889.2942310004073</v>
      </c>
      <c r="S11" s="22">
        <f>IFERROR((s_TR/(s_RadSpec!K11*s_EF_w*(1/365)*s_ED_com*s_RadSpec!P11*(s_ET_w_o+s_ET_w_i)*(1/24)*s_RadSpec!U11))*1,".")</f>
        <v>69474.433698220411</v>
      </c>
      <c r="T11" s="43">
        <f>s_C*s_EF_w*(1/365)*s_ED_com*(s_ET_w_o+s_ET_w_i)*(1/24)*s_RadSpec!V11*s_RadSpec!Q11*1</f>
        <v>6.7217297878055346E-2</v>
      </c>
      <c r="U11" s="43">
        <f>s_C*s_EF_w*(1/365)*s_ED_com*(s_ET_w_o+s_ET_w_i)*(1/24)*s_RadSpec!W11*s_RadSpec!R11*1</f>
        <v>5.3122324486301373E-2</v>
      </c>
      <c r="V11" s="43">
        <f>s_C*s_EF_w*(1/365)*s_ED_com*(s_ET_w_o+s_ET_w_i)*(1/24)*s_RadSpec!X11*s_RadSpec!S11*1</f>
        <v>6.8448383919777978E-2</v>
      </c>
      <c r="W11" s="43">
        <f>s_C*s_EF_w*(1/365)*s_ED_com*(s_ET_w_o+s_ET_w_i)*(1/24)*s_RadSpec!Y11*s_RadSpec!T11*1</f>
        <v>7.1857726508050931E-2</v>
      </c>
      <c r="X11" s="43">
        <f>s_C*s_EF_w*(1/365)*s_ED_com*(s_ET_w_o+s_ET_w_i)*(1/24)*s_RadSpec!U11*s_RadSpec!P11*1</f>
        <v>2.8535503937528954E-2</v>
      </c>
      <c r="Y11" s="11"/>
      <c r="Z11" s="11"/>
      <c r="AA11" s="11"/>
      <c r="AB11" s="11"/>
      <c r="AC11" s="11"/>
      <c r="AD11" s="22" t="str">
        <f>IFERROR(s_TR/(s_RadSpec!G11*s_EF_w*s_ED_com*(s_ET_w_o+s_ET_w_i)*(1/24)*s_IRA_w),".")</f>
        <v>.</v>
      </c>
      <c r="AE11" s="22">
        <f>IFERROR(s_TR/(s_RadSpec!J11*s_EF_w*(1/365)*s_ED_com*(s_ET_w_o+s_ET_w_i)*(1/24)*s_GSF_a),".")</f>
        <v>276406.7016182298</v>
      </c>
      <c r="AF11" s="22">
        <f t="shared" si="6"/>
        <v>276406.7016182298</v>
      </c>
      <c r="AG11" s="43">
        <f t="shared" si="4"/>
        <v>34375</v>
      </c>
      <c r="AH11" s="43">
        <f t="shared" si="5"/>
        <v>1.5696347031963471</v>
      </c>
      <c r="AI11" s="10"/>
      <c r="AJ11" s="10"/>
      <c r="AK11" s="10"/>
    </row>
    <row r="12" spans="1:37" x14ac:dyDescent="0.25">
      <c r="A12" s="23" t="s">
        <v>22</v>
      </c>
      <c r="B12" s="24" t="s">
        <v>289</v>
      </c>
      <c r="C12" s="109"/>
      <c r="D12" s="22" t="str">
        <f>IFERROR((s_TR/(s_RadSpec!I12*s_EF_w*s_ED_com*s_IRS_w*(1/1000)))*1,".")</f>
        <v>.</v>
      </c>
      <c r="E12" s="22" t="str">
        <f>IFERROR(IF(A12="H-3",(s_TR/(s_RadSpec!G12*s_EF_w*s_ED_com*(s_ET_w_o+s_ET_w_i)*(1/24)*s_IRA_w*(1/17)*1000))*1,(s_TR/(s_RadSpec!G12*s_EF_w*s_ED_com*(s_ET_w_o+s_ET_w_i)*(1/24)*s_IRA_w*(1/s_PEF_wind)*1000))*1),".")</f>
        <v>.</v>
      </c>
      <c r="F12" s="22">
        <f>IFERROR((s_TR/(s_RadSpec!F12*s_EF_w*(1/365)*s_ED_com*s_RadSpec!Q12*(s_ET_w_o+s_ET_w_i)*(1/24)*s_RadSpec!V12))*1,".")</f>
        <v>737.29994894191623</v>
      </c>
      <c r="G12" s="22">
        <f t="shared" si="0"/>
        <v>737.29994894191623</v>
      </c>
      <c r="H12" s="43">
        <f t="shared" si="1"/>
        <v>137.5</v>
      </c>
      <c r="I12" s="43">
        <f t="shared" si="2"/>
        <v>0.11080293013295324</v>
      </c>
      <c r="J12" s="43">
        <f>s_C*s_EF_w*(1/365)*s_ED_com*(s_ET_w_o+s_ET_w_i)*(1/24)*s_RadSpec!V12*s_RadSpec!Q12*1</f>
        <v>0.14028775593491805</v>
      </c>
      <c r="K12" s="4"/>
      <c r="L12" s="4"/>
      <c r="M12" s="4"/>
      <c r="N12" s="4"/>
      <c r="O12" s="22">
        <f>IFERROR((s_TR/(s_RadSpec!F12*s_EF_w*(1/365)*s_ED_com*s_RadSpec!Q12*(s_ET_w_o+s_ET_w_i)*(1/24)*s_RadSpec!V12))*1,".")</f>
        <v>737.29994894191623</v>
      </c>
      <c r="P12" s="22">
        <f>IFERROR((s_TR/(s_RadSpec!M12*s_EF_w*(1/365)*s_ED_com*s_RadSpec!R12*(s_ET_w_o+s_ET_w_i)*(1/24)*s_RadSpec!W12))*1,".")</f>
        <v>5820.8338233812192</v>
      </c>
      <c r="Q12" s="22">
        <f>IFERROR((s_TR/(s_RadSpec!N12*s_EF_w*(1/365)*s_ED_com*s_RadSpec!S12*(s_ET_w_o+s_ET_w_i)*(1/24)*s_RadSpec!X12))*1,".")</f>
        <v>1513.2447584318531</v>
      </c>
      <c r="R12" s="22">
        <f>IFERROR((s_TR/(s_RadSpec!O12*s_EF_w*(1/365)*s_ED_com*s_RadSpec!T12*(s_ET_w_o+s_ET_w_i)*(1/24)*s_RadSpec!Y12))*1,".")</f>
        <v>906.13173289828796</v>
      </c>
      <c r="S12" s="22">
        <f>IFERROR((s_TR/(s_RadSpec!K12*s_EF_w*(1/365)*s_ED_com*s_RadSpec!P12*(s_ET_w_o+s_ET_w_i)*(1/24)*s_RadSpec!U12))*1,".")</f>
        <v>9878.1149289878067</v>
      </c>
      <c r="T12" s="43">
        <f>s_C*s_EF_w*(1/365)*s_ED_com*(s_ET_w_o+s_ET_w_i)*(1/24)*s_RadSpec!V12*s_RadSpec!Q12*1</f>
        <v>0.14028775593491805</v>
      </c>
      <c r="U12" s="43">
        <f>s_C*s_EF_w*(1/365)*s_ED_com*(s_ET_w_o+s_ET_w_i)*(1/24)*s_RadSpec!W12*s_RadSpec!R12*1</f>
        <v>7.8195507655116833E-2</v>
      </c>
      <c r="V12" s="43">
        <f>s_C*s_EF_w*(1/365)*s_ED_com*(s_ET_w_o+s_ET_w_i)*(1/24)*s_RadSpec!X12*s_RadSpec!S12*1</f>
        <v>0.10784283699001379</v>
      </c>
      <c r="W12" s="43">
        <f>s_C*s_EF_w*(1/365)*s_ED_com*(s_ET_w_o+s_ET_w_i)*(1/24)*s_RadSpec!Y12*s_RadSpec!T12*1</f>
        <v>0.12211303024286947</v>
      </c>
      <c r="X12" s="43">
        <f>s_C*s_EF_w*(1/365)*s_ED_com*(s_ET_w_o+s_ET_w_i)*(1/24)*s_RadSpec!U12*s_RadSpec!P12*1</f>
        <v>4.5297924195310535E-2</v>
      </c>
      <c r="Y12" s="11"/>
      <c r="Z12" s="11"/>
      <c r="AA12" s="11"/>
      <c r="AB12" s="11"/>
      <c r="AC12" s="11"/>
      <c r="AD12" s="22" t="str">
        <f>IFERROR(s_TR/(s_RadSpec!G12*s_EF_w*s_ED_com*(s_ET_w_o+s_ET_w_i)*(1/24)*s_IRA_w),".")</f>
        <v>.</v>
      </c>
      <c r="AE12" s="22">
        <f>IFERROR(s_TR/(s_RadSpec!J12*s_EF_w*(1/365)*s_ED_com*(s_ET_w_o+s_ET_w_i)*(1/24)*s_GSF_a),".")</f>
        <v>64191.391646398297</v>
      </c>
      <c r="AF12" s="22">
        <f t="shared" si="6"/>
        <v>64191.391646398297</v>
      </c>
      <c r="AG12" s="43">
        <f t="shared" si="4"/>
        <v>34375</v>
      </c>
      <c r="AH12" s="43">
        <f t="shared" si="5"/>
        <v>1.5696347031963471</v>
      </c>
      <c r="AI12" s="10"/>
      <c r="AJ12" s="10"/>
      <c r="AK12" s="10"/>
    </row>
    <row r="13" spans="1:37" x14ac:dyDescent="0.25">
      <c r="A13" s="23" t="s">
        <v>23</v>
      </c>
      <c r="B13" s="24" t="s">
        <v>289</v>
      </c>
      <c r="C13" s="2"/>
      <c r="D13" s="22">
        <f>IFERROR((s_TR/(s_RadSpec!I13*s_EF_w*s_ED_com*s_IRS_w*(1/1000)))*1,".")</f>
        <v>7738.5904157557707</v>
      </c>
      <c r="E13" s="22">
        <f>IFERROR(IF(A13="H-3",(s_TR/(s_RadSpec!G13*s_EF_w*s_ED_com*(s_ET_w_o+s_ET_w_i)*(1/24)*s_IRA_w*(1/17)*1000))*1,(s_TR/(s_RadSpec!G13*s_EF_w*s_ED_com*(s_ET_w_o+s_ET_w_i)*(1/24)*s_IRA_w*(1/s_PEF_wind)*1000))*1),".")</f>
        <v>15736.760399221832</v>
      </c>
      <c r="F13" s="22">
        <f>IFERROR((s_TR/(s_RadSpec!F13*s_EF_w*(1/365)*s_ED_com*s_RadSpec!Q13*(s_ET_w_o+s_ET_w_i)*(1/24)*s_RadSpec!V13))*1,".")</f>
        <v>52962.293819483144</v>
      </c>
      <c r="G13" s="22">
        <f t="shared" si="0"/>
        <v>4724.7962601625859</v>
      </c>
      <c r="H13" s="43">
        <f t="shared" si="1"/>
        <v>137.5</v>
      </c>
      <c r="I13" s="43">
        <f t="shared" si="2"/>
        <v>0.11080293013295324</v>
      </c>
      <c r="J13" s="43">
        <f>s_C*s_EF_w*(1/365)*s_ED_com*(s_ET_w_o+s_ET_w_i)*(1/24)*s_RadSpec!V13*s_RadSpec!Q13*1</f>
        <v>1.8251299870012987E-2</v>
      </c>
      <c r="K13" s="4"/>
      <c r="L13" s="4"/>
      <c r="M13" s="4"/>
      <c r="N13" s="4"/>
      <c r="O13" s="22">
        <f>IFERROR((s_TR/(s_RadSpec!F13*s_EF_w*(1/365)*s_ED_com*s_RadSpec!Q13*(s_ET_w_o+s_ET_w_i)*(1/24)*s_RadSpec!V13))*1,".")</f>
        <v>52962.293819483144</v>
      </c>
      <c r="P13" s="22">
        <f>IFERROR((s_TR/(s_RadSpec!M13*s_EF_w*(1/365)*s_ED_com*s_RadSpec!R13*(s_ET_w_o+s_ET_w_i)*(1/24)*s_RadSpec!W13))*1,".")</f>
        <v>344321.15228614345</v>
      </c>
      <c r="Q13" s="22">
        <f>IFERROR((s_TR/(s_RadSpec!N13*s_EF_w*(1/365)*s_ED_com*s_RadSpec!S13*(s_ET_w_o+s_ET_w_i)*(1/24)*s_RadSpec!X13))*1,".")</f>
        <v>85965.587252885904</v>
      </c>
      <c r="R13" s="22">
        <f>IFERROR((s_TR/(s_RadSpec!O13*s_EF_w*(1/365)*s_ED_com*s_RadSpec!T13*(s_ET_w_o+s_ET_w_i)*(1/24)*s_RadSpec!Y13))*1,".")</f>
        <v>56901.724804873505</v>
      </c>
      <c r="S13" s="22">
        <f>IFERROR((s_TR/(s_RadSpec!K13*s_EF_w*(1/365)*s_ED_com*s_RadSpec!P13*(s_ET_w_o+s_ET_w_i)*(1/24)*s_RadSpec!U13))*1,".")</f>
        <v>2734674.8104980662</v>
      </c>
      <c r="T13" s="43">
        <f>s_C*s_EF_w*(1/365)*s_ED_com*(s_ET_w_o+s_ET_w_i)*(1/24)*s_RadSpec!V13*s_RadSpec!Q13*1</f>
        <v>1.8251299870012987E-2</v>
      </c>
      <c r="U13" s="43">
        <f>s_C*s_EF_w*(1/365)*s_ED_com*(s_ET_w_o+s_ET_w_i)*(1/24)*s_RadSpec!W13*s_RadSpec!R13*1</f>
        <v>8.3691586515107358E-3</v>
      </c>
      <c r="V13" s="43">
        <f>s_C*s_EF_w*(1/365)*s_ED_com*(s_ET_w_o+s_ET_w_i)*(1/24)*s_RadSpec!X13*s_RadSpec!S13*1</f>
        <v>1.4087288945524058E-2</v>
      </c>
      <c r="W13" s="43">
        <f>s_C*s_EF_w*(1/365)*s_ED_com*(s_ET_w_o+s_ET_w_i)*(1/24)*s_RadSpec!Y13*s_RadSpec!T13*1</f>
        <v>1.7064764246776495E-2</v>
      </c>
      <c r="X13" s="43">
        <f>s_C*s_EF_w*(1/365)*s_ED_com*(s_ET_w_o+s_ET_w_i)*(1/24)*s_RadSpec!U13*s_RadSpec!P13*1</f>
        <v>8.6993362519418205E-4</v>
      </c>
      <c r="Y13" s="11"/>
      <c r="Z13" s="11"/>
      <c r="AA13" s="11"/>
      <c r="AB13" s="11"/>
      <c r="AC13" s="11"/>
      <c r="AD13" s="22">
        <f>IFERROR(s_TR/(s_RadSpec!G13*s_EF_w*s_ED_com*(s_ET_w_o+s_ET_w_i)*(1/24)*s_IRA_w),".")</f>
        <v>5.0725212015534607E-2</v>
      </c>
      <c r="AE13" s="22">
        <f>IFERROR(s_TR/(s_RadSpec!J13*s_EF_w*(1/365)*s_ED_com*(s_ET_w_o+s_ET_w_i)*(1/24)*s_GSF_a),".")</f>
        <v>415241.11795615341</v>
      </c>
      <c r="AF13" s="22">
        <f t="shared" si="6"/>
        <v>5.0725205819022005E-2</v>
      </c>
      <c r="AG13" s="43">
        <f t="shared" si="4"/>
        <v>34375</v>
      </c>
      <c r="AH13" s="43">
        <f t="shared" si="5"/>
        <v>1.5696347031963471</v>
      </c>
      <c r="AI13" s="10"/>
      <c r="AJ13" s="10"/>
      <c r="AK13" s="10"/>
    </row>
    <row r="14" spans="1:37" x14ac:dyDescent="0.25">
      <c r="A14" s="23" t="s">
        <v>24</v>
      </c>
      <c r="B14" s="24" t="s">
        <v>289</v>
      </c>
      <c r="C14" s="2"/>
      <c r="D14" s="22">
        <f>IFERROR((s_TR/(s_RadSpec!I14*s_EF_w*s_ED_com*s_IRS_w*(1/1000)))*1,".")</f>
        <v>140802.43306604339</v>
      </c>
      <c r="E14" s="22">
        <f>IFERROR(IF(A14="H-3",(s_TR/(s_RadSpec!G14*s_EF_w*s_ED_com*(s_ET_w_o+s_ET_w_i)*(1/24)*s_IRA_w*(1/17)*1000))*1,(s_TR/(s_RadSpec!G14*s_EF_w*s_ED_com*(s_ET_w_o+s_ET_w_i)*(1/24)*s_IRA_w*(1/s_PEF_wind)*1000))*1),".")</f>
        <v>29530240.458588183</v>
      </c>
      <c r="F14" s="22">
        <f>IFERROR((s_TR/(s_RadSpec!F14*s_EF_w*(1/365)*s_ED_com*s_RadSpec!Q14*(s_ET_w_o+s_ET_w_i)*(1/24)*s_RadSpec!V14))*1,".")</f>
        <v>511.93253233970188</v>
      </c>
      <c r="G14" s="22">
        <f t="shared" si="0"/>
        <v>510.06916932382467</v>
      </c>
      <c r="H14" s="43">
        <f t="shared" si="1"/>
        <v>137.5</v>
      </c>
      <c r="I14" s="43">
        <f t="shared" si="2"/>
        <v>0.11080293013295324</v>
      </c>
      <c r="J14" s="43">
        <f>s_C*s_EF_w*(1/365)*s_ED_com*(s_ET_w_o+s_ET_w_i)*(1/24)*s_RadSpec!V14*s_RadSpec!Q14*1</f>
        <v>0.12158028187565867</v>
      </c>
      <c r="K14" s="4"/>
      <c r="L14" s="4"/>
      <c r="M14" s="4"/>
      <c r="N14" s="4"/>
      <c r="O14" s="22">
        <f>IFERROR((s_TR/(s_RadSpec!F14*s_EF_w*(1/365)*s_ED_com*s_RadSpec!Q14*(s_ET_w_o+s_ET_w_i)*(1/24)*s_RadSpec!V14))*1,".")</f>
        <v>511.93253233970188</v>
      </c>
      <c r="P14" s="22">
        <f>IFERROR((s_TR/(s_RadSpec!M14*s_EF_w*(1/365)*s_ED_com*s_RadSpec!R14*(s_ET_w_o+s_ET_w_i)*(1/24)*s_RadSpec!W14))*1,".")</f>
        <v>3919.4180488247334</v>
      </c>
      <c r="Q14" s="22">
        <f>IFERROR((s_TR/(s_RadSpec!N14*s_EF_w*(1/365)*s_ED_com*s_RadSpec!S14*(s_ET_w_o+s_ET_w_i)*(1/24)*s_RadSpec!X14))*1,".")</f>
        <v>1055.6260049413058</v>
      </c>
      <c r="R14" s="22">
        <f>IFERROR((s_TR/(s_RadSpec!O14*s_EF_w*(1/365)*s_ED_com*s_RadSpec!T14*(s_ET_w_o+s_ET_w_i)*(1/24)*s_RadSpec!Y14))*1,".")</f>
        <v>636.58769357939536</v>
      </c>
      <c r="S14" s="22">
        <f>IFERROR((s_TR/(s_RadSpec!K14*s_EF_w*(1/365)*s_ED_com*s_RadSpec!P14*(s_ET_w_o+s_ET_w_i)*(1/24)*s_RadSpec!U14))*1,".")</f>
        <v>11085.671084088766</v>
      </c>
      <c r="T14" s="43">
        <f>s_C*s_EF_w*(1/365)*s_ED_com*(s_ET_w_o+s_ET_w_i)*(1/24)*s_RadSpec!V14*s_RadSpec!Q14*1</f>
        <v>0.12158028187565867</v>
      </c>
      <c r="U14" s="43">
        <f>s_C*s_EF_w*(1/365)*s_ED_com*(s_ET_w_o+s_ET_w_i)*(1/24)*s_RadSpec!W14*s_RadSpec!R14*1</f>
        <v>6.6945682049917951E-2</v>
      </c>
      <c r="V14" s="43">
        <f>s_C*s_EF_w*(1/365)*s_ED_com*(s_ET_w_o+s_ET_w_i)*(1/24)*s_RadSpec!X14*s_RadSpec!S14*1</f>
        <v>9.0547448878300518E-2</v>
      </c>
      <c r="W14" s="43">
        <f>s_C*s_EF_w*(1/365)*s_ED_com*(s_ET_w_o+s_ET_w_i)*(1/24)*s_RadSpec!Y14*s_RadSpec!T14*1</f>
        <v>0.1033296803652968</v>
      </c>
      <c r="X14" s="43">
        <f>s_C*s_EF_w*(1/365)*s_ED_com*(s_ET_w_o+s_ET_w_i)*(1/24)*s_RadSpec!U14*s_RadSpec!P14*1</f>
        <v>2.3992552201090568E-2</v>
      </c>
      <c r="Y14" s="11"/>
      <c r="Z14" s="11"/>
      <c r="AA14" s="11"/>
      <c r="AB14" s="11"/>
      <c r="AC14" s="11"/>
      <c r="AD14" s="22">
        <f>IFERROR(s_TR/(s_RadSpec!G14*s_EF_w*s_ED_com*(s_ET_w_o+s_ET_w_i)*(1/24)*s_IRA_w),".")</f>
        <v>95.186535864501977</v>
      </c>
      <c r="AE14" s="22">
        <f>IFERROR(s_TR/(s_RadSpec!J14*s_EF_w*(1/365)*s_ED_com*(s_ET_w_o+s_ET_w_i)*(1/24)*s_GSF_a),".")</f>
        <v>37320.576538603658</v>
      </c>
      <c r="AF14" s="22">
        <f t="shared" si="6"/>
        <v>94.944379194013891</v>
      </c>
      <c r="AG14" s="43">
        <f t="shared" si="4"/>
        <v>34375</v>
      </c>
      <c r="AH14" s="43">
        <f t="shared" si="5"/>
        <v>1.5696347031963471</v>
      </c>
      <c r="AI14" s="10"/>
      <c r="AJ14" s="10"/>
      <c r="AK14" s="10"/>
    </row>
    <row r="15" spans="1:37" x14ac:dyDescent="0.25">
      <c r="A15" s="23" t="s">
        <v>25</v>
      </c>
      <c r="B15" s="24" t="s">
        <v>289</v>
      </c>
      <c r="C15" s="2"/>
      <c r="D15" s="22">
        <f>IFERROR((s_TR/(s_RadSpec!I15*s_EF_w*s_ED_com*s_IRS_w*(1/1000)))*1,".")</f>
        <v>2978184.7963666143</v>
      </c>
      <c r="E15" s="22">
        <f>IFERROR(IF(A15="H-3",(s_TR/(s_RadSpec!G15*s_EF_w*s_ED_com*(s_ET_w_o+s_ET_w_i)*(1/24)*s_IRA_w*(1/17)*1000))*1,(s_TR/(s_RadSpec!G15*s_EF_w*s_ED_com*(s_ET_w_o+s_ET_w_i)*(1/24)*s_IRA_w*(1/s_PEF_wind)*1000))*1),".")</f>
        <v>2170104859.3232956</v>
      </c>
      <c r="F15" s="22" t="str">
        <f>IFERROR((s_TR/(s_RadSpec!F15*s_EF_w*(1/365)*s_ED_com*s_RadSpec!Q15*(s_ET_w_o+s_ET_w_i)*(1/24)*s_RadSpec!V15))*1,".")</f>
        <v>.</v>
      </c>
      <c r="G15" s="22">
        <f t="shared" si="0"/>
        <v>2974103.2290720232</v>
      </c>
      <c r="H15" s="43">
        <f t="shared" si="1"/>
        <v>137.5</v>
      </c>
      <c r="I15" s="43">
        <f t="shared" si="2"/>
        <v>0.11080293013295324</v>
      </c>
      <c r="J15" s="43">
        <f>s_C*s_EF_w*(1/365)*s_ED_com*(s_ET_w_o+s_ET_w_i)*(1/24)*s_RadSpec!V15*s_RadSpec!Q15*1</f>
        <v>0</v>
      </c>
      <c r="K15" s="4"/>
      <c r="L15" s="4"/>
      <c r="M15" s="4"/>
      <c r="N15" s="4"/>
      <c r="O15" s="22" t="str">
        <f>IFERROR((s_TR/(s_RadSpec!F15*s_EF_w*(1/365)*s_ED_com*s_RadSpec!Q15*(s_ET_w_o+s_ET_w_i)*(1/24)*s_RadSpec!V15))*1,".")</f>
        <v>.</v>
      </c>
      <c r="P15" s="22" t="str">
        <f>IFERROR((s_TR/(s_RadSpec!M15*s_EF_w*(1/365)*s_ED_com*s_RadSpec!R15*(s_ET_w_o+s_ET_w_i)*(1/24)*s_RadSpec!W15))*1,".")</f>
        <v>.</v>
      </c>
      <c r="Q15" s="22" t="str">
        <f>IFERROR((s_TR/(s_RadSpec!N15*s_EF_w*(1/365)*s_ED_com*s_RadSpec!S15*(s_ET_w_o+s_ET_w_i)*(1/24)*s_RadSpec!X15))*1,".")</f>
        <v>.</v>
      </c>
      <c r="R15" s="22" t="str">
        <f>IFERROR((s_TR/(s_RadSpec!O15*s_EF_w*(1/365)*s_ED_com*s_RadSpec!T15*(s_ET_w_o+s_ET_w_i)*(1/24)*s_RadSpec!Y15))*1,".")</f>
        <v>.</v>
      </c>
      <c r="S15" s="22" t="str">
        <f>IFERROR((s_TR/(s_RadSpec!K15*s_EF_w*(1/365)*s_ED_com*s_RadSpec!P15*(s_ET_w_o+s_ET_w_i)*(1/24)*s_RadSpec!U15))*1,".")</f>
        <v>.</v>
      </c>
      <c r="T15" s="43">
        <f>s_C*s_EF_w*(1/365)*s_ED_com*(s_ET_w_o+s_ET_w_i)*(1/24)*s_RadSpec!V15*s_RadSpec!Q15*1</f>
        <v>0</v>
      </c>
      <c r="U15" s="43">
        <f>s_C*s_EF_w*(1/365)*s_ED_com*(s_ET_w_o+s_ET_w_i)*(1/24)*s_RadSpec!W15*s_RadSpec!R15*1</f>
        <v>0</v>
      </c>
      <c r="V15" s="43">
        <f>s_C*s_EF_w*(1/365)*s_ED_com*(s_ET_w_o+s_ET_w_i)*(1/24)*s_RadSpec!X15*s_RadSpec!S15*1</f>
        <v>0</v>
      </c>
      <c r="W15" s="43">
        <f>s_C*s_EF_w*(1/365)*s_ED_com*(s_ET_w_o+s_ET_w_i)*(1/24)*s_RadSpec!Y15*s_RadSpec!T15*1</f>
        <v>0</v>
      </c>
      <c r="X15" s="43">
        <f>s_C*s_EF_w*(1/365)*s_ED_com*(s_ET_w_o+s_ET_w_i)*(1/24)*s_RadSpec!U15*s_RadSpec!P15*1</f>
        <v>0</v>
      </c>
      <c r="Y15" s="11"/>
      <c r="Z15" s="11"/>
      <c r="AA15" s="11"/>
      <c r="AB15" s="11"/>
      <c r="AC15" s="11"/>
      <c r="AD15" s="22">
        <f>IFERROR(s_TR/(s_RadSpec!G15*s_EF_w*s_ED_com*(s_ET_w_o+s_ET_w_i)*(1/24)*s_IRA_w),".")</f>
        <v>6995.0247886190973</v>
      </c>
      <c r="AE15" s="22">
        <f>IFERROR(s_TR/(s_RadSpec!J15*s_EF_w*(1/365)*s_ED_com*(s_ET_w_o+s_ET_w_i)*(1/24)*s_GSF_a),".")</f>
        <v>18685850.308026899</v>
      </c>
      <c r="AF15" s="22">
        <f t="shared" si="6"/>
        <v>6992.4071896970381</v>
      </c>
      <c r="AG15" s="43">
        <f t="shared" si="4"/>
        <v>34375</v>
      </c>
      <c r="AH15" s="43">
        <f t="shared" si="5"/>
        <v>1.5696347031963471</v>
      </c>
      <c r="AI15" s="10"/>
      <c r="AJ15" s="10"/>
      <c r="AK15" s="10"/>
    </row>
    <row r="16" spans="1:37" x14ac:dyDescent="0.25">
      <c r="A16" s="23" t="s">
        <v>26</v>
      </c>
      <c r="B16" s="24" t="s">
        <v>289</v>
      </c>
      <c r="C16" s="109"/>
      <c r="D16" s="22">
        <f>IFERROR((s_TR/(s_RadSpec!I16*s_EF_w*s_ED_com*s_IRS_w*(1/1000)))*1,".")</f>
        <v>606.6672733339401</v>
      </c>
      <c r="E16" s="22">
        <f>IFERROR(IF(A16="H-3",(s_TR/(s_RadSpec!G16*s_EF_w*s_ED_com*(s_ET_w_o+s_ET_w_i)*(1/24)*s_IRA_w*(1/17)*1000))*1,(s_TR/(s_RadSpec!G16*s_EF_w*s_ED_com*(s_ET_w_o+s_ET_w_i)*(1/24)*s_IRA_w*(1/s_PEF_wind)*1000))*1),".")</f>
        <v>28428.879509083727</v>
      </c>
      <c r="F16" s="22">
        <f>IFERROR((s_TR/(s_RadSpec!F16*s_EF_w*(1/365)*s_ED_com*s_RadSpec!Q16*(s_ET_w_o+s_ET_w_i)*(1/24)*s_RadSpec!V16))*1,".")</f>
        <v>2579238396.942708</v>
      </c>
      <c r="G16" s="22">
        <f t="shared" si="0"/>
        <v>593.99146064134425</v>
      </c>
      <c r="H16" s="43">
        <f t="shared" si="1"/>
        <v>137.5</v>
      </c>
      <c r="I16" s="43">
        <f t="shared" si="2"/>
        <v>0.11080293013295324</v>
      </c>
      <c r="J16" s="43">
        <f>s_C*s_EF_w*(1/365)*s_ED_com*(s_ET_w_o+s_ET_w_i)*(1/24)*s_RadSpec!V16*s_RadSpec!Q16*1</f>
        <v>1.3072814742335285E-5</v>
      </c>
      <c r="K16" s="4"/>
      <c r="L16" s="4"/>
      <c r="M16" s="4"/>
      <c r="N16" s="4"/>
      <c r="O16" s="22">
        <f>IFERROR((s_TR/(s_RadSpec!F16*s_EF_w*(1/365)*s_ED_com*s_RadSpec!Q16*(s_ET_w_o+s_ET_w_i)*(1/24)*s_RadSpec!V16))*1,".")</f>
        <v>2579238396.942708</v>
      </c>
      <c r="P16" s="22">
        <f>IFERROR((s_TR/(s_RadSpec!M16*s_EF_w*(1/365)*s_ED_com*s_RadSpec!R16*(s_ET_w_o+s_ET_w_i)*(1/24)*s_RadSpec!W16))*1,".")</f>
        <v>7149251915.5073071</v>
      </c>
      <c r="Q16" s="22">
        <f>IFERROR((s_TR/(s_RadSpec!N16*s_EF_w*(1/365)*s_ED_com*s_RadSpec!S16*(s_ET_w_o+s_ET_w_i)*(1/24)*s_RadSpec!X16))*1,".")</f>
        <v>2790278935.7777948</v>
      </c>
      <c r="R16" s="22">
        <f>IFERROR((s_TR/(s_RadSpec!O16*s_EF_w*(1/365)*s_ED_com*s_RadSpec!T16*(s_ET_w_o+s_ET_w_i)*(1/24)*s_RadSpec!Y16))*1,".")</f>
        <v>2773778206.345232</v>
      </c>
      <c r="S16" s="22">
        <f>IFERROR((s_TR/(s_RadSpec!K16*s_EF_w*(1/365)*s_ED_com*s_RadSpec!P16*(s_ET_w_o+s_ET_w_i)*(1/24)*s_RadSpec!U16))*1,".")</f>
        <v>92793678400.405716</v>
      </c>
      <c r="T16" s="43">
        <f>s_C*s_EF_w*(1/365)*s_ED_com*(s_ET_w_o+s_ET_w_i)*(1/24)*s_RadSpec!V16*s_RadSpec!Q16*1</f>
        <v>1.3072814742335285E-5</v>
      </c>
      <c r="U16" s="43">
        <f>s_C*s_EF_w*(1/365)*s_ED_com*(s_ET_w_o+s_ET_w_i)*(1/24)*s_RadSpec!W16*s_RadSpec!R16*1</f>
        <v>7.3402956734029545E-6</v>
      </c>
      <c r="V16" s="43">
        <f>s_C*s_EF_w*(1/365)*s_ED_com*(s_ET_w_o+s_ET_w_i)*(1/24)*s_RadSpec!X16*s_RadSpec!S16*1</f>
        <v>1.2218757713192641E-5</v>
      </c>
      <c r="W16" s="43">
        <f>s_C*s_EF_w*(1/365)*s_ED_com*(s_ET_w_o+s_ET_w_i)*(1/24)*s_RadSpec!Y16*s_RadSpec!T16*1</f>
        <v>1.2155948756976148E-5</v>
      </c>
      <c r="X16" s="43">
        <f>s_C*s_EF_w*(1/365)*s_ED_com*(s_ET_w_o+s_ET_w_i)*(1/24)*s_RadSpec!U16*s_RadSpec!P16*1</f>
        <v>3.1392694063926939E-7</v>
      </c>
      <c r="Y16" s="11"/>
      <c r="Z16" s="11"/>
      <c r="AA16" s="11"/>
      <c r="AB16" s="11"/>
      <c r="AC16" s="11"/>
      <c r="AD16" s="22">
        <f>IFERROR(s_TR/(s_RadSpec!G16*s_EF_w*s_ED_com*(s_ET_w_o+s_ET_w_i)*(1/24)*s_IRA_w),".")</f>
        <v>9.1636455272818912E-2</v>
      </c>
      <c r="AE16" s="22">
        <f>IFERROR(s_TR/(s_RadSpec!J16*s_EF_w*(1/365)*s_ED_com*(s_ET_w_o+s_ET_w_i)*(1/24)*s_GSF_a),".")</f>
        <v>8095353.5459107636</v>
      </c>
      <c r="AF16" s="22">
        <f t="shared" si="6"/>
        <v>9.1636454235527603E-2</v>
      </c>
      <c r="AG16" s="43">
        <f t="shared" si="4"/>
        <v>34375</v>
      </c>
      <c r="AH16" s="43">
        <f t="shared" si="5"/>
        <v>1.5696347031963471</v>
      </c>
      <c r="AI16" s="10"/>
      <c r="AJ16" s="10"/>
      <c r="AK16" s="10"/>
    </row>
    <row r="17" spans="1:37" x14ac:dyDescent="0.25">
      <c r="A17" s="23" t="s">
        <v>27</v>
      </c>
      <c r="B17" s="24" t="s">
        <v>289</v>
      </c>
      <c r="C17" s="109"/>
      <c r="D17" s="22">
        <f>IFERROR((s_TR/(s_RadSpec!I17*s_EF_w*s_ED_com*s_IRS_w*(1/1000)))*1,".")</f>
        <v>1648994.9375855415</v>
      </c>
      <c r="E17" s="22">
        <f>IFERROR(IF(A17="H-3",(s_TR/(s_RadSpec!G17*s_EF_w*s_ED_com*(s_ET_w_o+s_ET_w_i)*(1/24)*s_IRA_w*(1/17)*1000))*1,(s_TR/(s_RadSpec!G17*s_EF_w*s_ED_com*(s_ET_w_o+s_ET_w_i)*(1/24)*s_IRA_w*(1/s_PEF_wind)*1000))*1),".")</f>
        <v>5807613.9568556743</v>
      </c>
      <c r="F17" s="22">
        <f>IFERROR((s_TR/(s_RadSpec!F17*s_EF_w*(1/365)*s_ED_com*s_RadSpec!Q17*(s_ET_w_o+s_ET_w_i)*(1/24)*s_RadSpec!V17))*1,".")</f>
        <v>353.88679830087409</v>
      </c>
      <c r="G17" s="22">
        <f t="shared" si="0"/>
        <v>353.78931429322313</v>
      </c>
      <c r="H17" s="43">
        <f t="shared" si="1"/>
        <v>137.5</v>
      </c>
      <c r="I17" s="43">
        <f t="shared" si="2"/>
        <v>0.11080293013295324</v>
      </c>
      <c r="J17" s="43">
        <f>s_C*s_EF_w*(1/365)*s_ED_com*(s_ET_w_o+s_ET_w_i)*(1/24)*s_RadSpec!V17*s_RadSpec!Q17*1</f>
        <v>0.14219043781896329</v>
      </c>
      <c r="K17" s="4"/>
      <c r="L17" s="4"/>
      <c r="M17" s="4"/>
      <c r="N17" s="4"/>
      <c r="O17" s="22">
        <f>IFERROR((s_TR/(s_RadSpec!F17*s_EF_w*(1/365)*s_ED_com*s_RadSpec!Q17*(s_ET_w_o+s_ET_w_i)*(1/24)*s_RadSpec!V17))*1,".")</f>
        <v>353.88679830087409</v>
      </c>
      <c r="P17" s="22">
        <f>IFERROR((s_TR/(s_RadSpec!M17*s_EF_w*(1/365)*s_ED_com*s_RadSpec!R17*(s_ET_w_o+s_ET_w_i)*(1/24)*s_RadSpec!W17))*1,".")</f>
        <v>2718.6776987846765</v>
      </c>
      <c r="Q17" s="22">
        <f>IFERROR((s_TR/(s_RadSpec!N17*s_EF_w*(1/365)*s_ED_com*s_RadSpec!S17*(s_ET_w_o+s_ET_w_i)*(1/24)*s_RadSpec!X17))*1,".")</f>
        <v>735.43979522241784</v>
      </c>
      <c r="R17" s="22">
        <f>IFERROR((s_TR/(s_RadSpec!O17*s_EF_w*(1/365)*s_ED_com*s_RadSpec!T17*(s_ET_w_o+s_ET_w_i)*(1/24)*s_RadSpec!Y17))*1,".")</f>
        <v>442.43911409036474</v>
      </c>
      <c r="S17" s="22">
        <f>IFERROR((s_TR/(s_RadSpec!K17*s_EF_w*(1/365)*s_ED_com*s_RadSpec!P17*(s_ET_w_o+s_ET_w_i)*(1/24)*s_RadSpec!U17))*1,".")</f>
        <v>5280.26920460171</v>
      </c>
      <c r="T17" s="43">
        <f>s_C*s_EF_w*(1/365)*s_ED_com*(s_ET_w_o+s_ET_w_i)*(1/24)*s_RadSpec!V17*s_RadSpec!Q17*1</f>
        <v>0.14219043781896329</v>
      </c>
      <c r="U17" s="43">
        <f>s_C*s_EF_w*(1/365)*s_ED_com*(s_ET_w_o+s_ET_w_i)*(1/24)*s_RadSpec!W17*s_RadSpec!R17*1</f>
        <v>8.1358182011256233E-2</v>
      </c>
      <c r="V17" s="43">
        <f>s_C*s_EF_w*(1/365)*s_ED_com*(s_ET_w_o+s_ET_w_i)*(1/24)*s_RadSpec!X17*s_RadSpec!S17*1</f>
        <v>0.10798596247146118</v>
      </c>
      <c r="W17" s="43">
        <f>s_C*s_EF_w*(1/365)*s_ED_com*(s_ET_w_o+s_ET_w_i)*(1/24)*s_RadSpec!Y17*s_RadSpec!T17*1</f>
        <v>0.1214374048706241</v>
      </c>
      <c r="X17" s="43">
        <f>s_C*s_EF_w*(1/365)*s_ED_com*(s_ET_w_o+s_ET_w_i)*(1/24)*s_RadSpec!U17*s_RadSpec!P17*1</f>
        <v>4.2459500538710178E-2</v>
      </c>
      <c r="Y17" s="11"/>
      <c r="Z17" s="11"/>
      <c r="AA17" s="11"/>
      <c r="AB17" s="11"/>
      <c r="AC17" s="11"/>
      <c r="AD17" s="22">
        <f>IFERROR(s_TR/(s_RadSpec!G17*s_EF_w*s_ED_com*(s_ET_w_o+s_ET_w_i)*(1/24)*s_IRA_w),".")</f>
        <v>18.720018720018718</v>
      </c>
      <c r="AE17" s="22">
        <f>IFERROR(s_TR/(s_RadSpec!J17*s_EF_w*(1/365)*s_ED_com*(s_ET_w_o+s_ET_w_i)*(1/24)*s_GSF_a),".")</f>
        <v>31250.104753401229</v>
      </c>
      <c r="AF17" s="22">
        <f t="shared" si="6"/>
        <v>18.708811419986439</v>
      </c>
      <c r="AG17" s="43">
        <f t="shared" si="4"/>
        <v>34375</v>
      </c>
      <c r="AH17" s="43">
        <f t="shared" si="5"/>
        <v>1.5696347031963471</v>
      </c>
      <c r="AI17" s="10"/>
      <c r="AJ17" s="10"/>
      <c r="AK17" s="10"/>
    </row>
    <row r="18" spans="1:37" x14ac:dyDescent="0.25">
      <c r="A18" s="23" t="s">
        <v>28</v>
      </c>
      <c r="B18" s="24" t="s">
        <v>289</v>
      </c>
      <c r="C18" s="109"/>
      <c r="D18" s="22">
        <f>IFERROR((s_TR/(s_RadSpec!I18*s_EF_w*s_ED_com*s_IRS_w*(1/1000)))*1,".")</f>
        <v>253.29922237138732</v>
      </c>
      <c r="E18" s="22">
        <f>IFERROR(IF(A18="H-3",(s_TR/(s_RadSpec!G18*s_EF_w*s_ED_com*(s_ET_w_o+s_ET_w_i)*(1/24)*s_IRA_w*(1/17)*1000))*1,(s_TR/(s_RadSpec!G18*s_EF_w*s_ED_com*(s_ET_w_o+s_ET_w_i)*(1/24)*s_IRA_w*(1/s_PEF_wind)*1000))*1),".")</f>
        <v>31112.217626012549</v>
      </c>
      <c r="F18" s="22">
        <f>IFERROR((s_TR/(s_RadSpec!F18*s_EF_w*(1/365)*s_ED_com*s_RadSpec!Q18*(s_ET_w_o+s_ET_w_i)*(1/24)*s_RadSpec!V18))*1,".")</f>
        <v>3973669.4583399002</v>
      </c>
      <c r="G18" s="22">
        <f t="shared" si="0"/>
        <v>251.23776237258681</v>
      </c>
      <c r="H18" s="43">
        <f t="shared" si="1"/>
        <v>137.5</v>
      </c>
      <c r="I18" s="43">
        <f t="shared" si="2"/>
        <v>0.11080293013295324</v>
      </c>
      <c r="J18" s="43">
        <f>s_C*s_EF_w*(1/365)*s_ED_com*(s_ET_w_o+s_ET_w_i)*(1/24)*s_RadSpec!V18*s_RadSpec!Q18*1</f>
        <v>0.27918062176895375</v>
      </c>
      <c r="K18" s="4"/>
      <c r="L18" s="4"/>
      <c r="M18" s="4"/>
      <c r="N18" s="4"/>
      <c r="O18" s="22">
        <f>IFERROR((s_TR/(s_RadSpec!F18*s_EF_w*(1/365)*s_ED_com*s_RadSpec!Q18*(s_ET_w_o+s_ET_w_i)*(1/24)*s_RadSpec!V18))*1,".")</f>
        <v>3973669.4583399002</v>
      </c>
      <c r="P18" s="22">
        <f>IFERROR((s_TR/(s_RadSpec!M18*s_EF_w*(1/365)*s_ED_com*s_RadSpec!R18*(s_ET_w_o+s_ET_w_i)*(1/24)*s_RadSpec!W18))*1,".")</f>
        <v>39600952.955493495</v>
      </c>
      <c r="Q18" s="22">
        <f>IFERROR((s_TR/(s_RadSpec!N18*s_EF_w*(1/365)*s_ED_com*s_RadSpec!S18*(s_ET_w_o+s_ET_w_i)*(1/24)*s_RadSpec!X18))*1,".")</f>
        <v>9767504.56023206</v>
      </c>
      <c r="R18" s="22">
        <f>IFERROR((s_TR/(s_RadSpec!O18*s_EF_w*(1/365)*s_ED_com*s_RadSpec!T18*(s_ET_w_o+s_ET_w_i)*(1/24)*s_RadSpec!Y18))*1,".")</f>
        <v>5194512.4937339183</v>
      </c>
      <c r="S18" s="22">
        <f>IFERROR((s_TR/(s_RadSpec!K18*s_EF_w*(1/365)*s_ED_com*s_RadSpec!P18*(s_ET_w_o+s_ET_w_i)*(1/24)*s_RadSpec!U18))*1,".")</f>
        <v>69247941.212073535</v>
      </c>
      <c r="T18" s="43">
        <f>s_C*s_EF_w*(1/365)*s_ED_com*(s_ET_w_o+s_ET_w_i)*(1/24)*s_RadSpec!V18*s_RadSpec!Q18*1</f>
        <v>0.27918062176895375</v>
      </c>
      <c r="U18" s="43">
        <f>s_C*s_EF_w*(1/365)*s_ED_com*(s_ET_w_o+s_ET_w_i)*(1/24)*s_RadSpec!W18*s_RadSpec!R18*1</f>
        <v>0.14109225682206314</v>
      </c>
      <c r="V18" s="43">
        <f>s_C*s_EF_w*(1/365)*s_ED_com*(s_ET_w_o+s_ET_w_i)*(1/24)*s_RadSpec!X18*s_RadSpec!S18*1</f>
        <v>0.20147529461027694</v>
      </c>
      <c r="W18" s="43">
        <f>s_C*s_EF_w*(1/365)*s_ED_com*(s_ET_w_o+s_ET_w_i)*(1/24)*s_RadSpec!Y18*s_RadSpec!T18*1</f>
        <v>0.24317550129045062</v>
      </c>
      <c r="X18" s="43">
        <f>s_C*s_EF_w*(1/365)*s_ED_com*(s_ET_w_o+s_ET_w_i)*(1/24)*s_RadSpec!U18*s_RadSpec!P18*1</f>
        <v>8.3004411423264479E-2</v>
      </c>
      <c r="Y18" s="11"/>
      <c r="Z18" s="11"/>
      <c r="AA18" s="11"/>
      <c r="AB18" s="11"/>
      <c r="AC18" s="11"/>
      <c r="AD18" s="22">
        <f>IFERROR(s_TR/(s_RadSpec!G18*s_EF_w*s_ED_com*(s_ET_w_o+s_ET_w_i)*(1/24)*s_IRA_w),".")</f>
        <v>0.10028581457152887</v>
      </c>
      <c r="AE18" s="22">
        <f>IFERROR(s_TR/(s_RadSpec!J18*s_EF_w*(1/365)*s_ED_com*(s_ET_w_o+s_ET_w_i)*(1/24)*s_GSF_a),".")</f>
        <v>762048643.84690726</v>
      </c>
      <c r="AF18" s="22">
        <f t="shared" si="6"/>
        <v>0.10028581455833123</v>
      </c>
      <c r="AG18" s="43">
        <f t="shared" si="4"/>
        <v>34375</v>
      </c>
      <c r="AH18" s="43">
        <f t="shared" si="5"/>
        <v>1.5696347031963471</v>
      </c>
      <c r="AI18" s="10"/>
      <c r="AJ18" s="10"/>
      <c r="AK18" s="10"/>
    </row>
    <row r="19" spans="1:37" x14ac:dyDescent="0.25">
      <c r="A19" s="23" t="s">
        <v>29</v>
      </c>
      <c r="B19" s="24" t="s">
        <v>289</v>
      </c>
      <c r="C19" s="2"/>
      <c r="D19" s="22" t="str">
        <f>IFERROR((s_TR/(s_RadSpec!I19*s_EF_w*s_ED_com*s_IRS_w*(1/1000)))*1,".")</f>
        <v>.</v>
      </c>
      <c r="E19" s="22" t="str">
        <f>IFERROR(IF(A19="H-3",(s_TR/(s_RadSpec!G19*s_EF_w*s_ED_com*(s_ET_w_o+s_ET_w_i)*(1/24)*s_IRA_w*(1/17)*1000))*1,(s_TR/(s_RadSpec!G19*s_EF_w*s_ED_com*(s_ET_w_o+s_ET_w_i)*(1/24)*s_IRA_w*(1/s_PEF_wind)*1000))*1),".")</f>
        <v>.</v>
      </c>
      <c r="F19" s="22">
        <f>IFERROR((s_TR/(s_RadSpec!F19*s_EF_w*(1/365)*s_ED_com*s_RadSpec!Q19*(s_ET_w_o+s_ET_w_i)*(1/24)*s_RadSpec!V19))*1,".")</f>
        <v>1057511.897797381</v>
      </c>
      <c r="G19" s="22">
        <f t="shared" si="0"/>
        <v>1057511.897797381</v>
      </c>
      <c r="H19" s="43">
        <f t="shared" si="1"/>
        <v>137.5</v>
      </c>
      <c r="I19" s="43">
        <f t="shared" si="2"/>
        <v>0.11080293013295324</v>
      </c>
      <c r="J19" s="43">
        <f>s_C*s_EF_w*(1/365)*s_ED_com*(s_ET_w_o+s_ET_w_i)*(1/24)*s_RadSpec!V19*s_RadSpec!Q19*1</f>
        <v>0.27360078277886496</v>
      </c>
      <c r="K19" s="4"/>
      <c r="L19" s="4"/>
      <c r="M19" s="4"/>
      <c r="N19" s="4"/>
      <c r="O19" s="22">
        <f>IFERROR((s_TR/(s_RadSpec!F19*s_EF_w*(1/365)*s_ED_com*s_RadSpec!Q19*(s_ET_w_o+s_ET_w_i)*(1/24)*s_RadSpec!V19))*1,".")</f>
        <v>1057511.897797381</v>
      </c>
      <c r="P19" s="22">
        <f>IFERROR((s_TR/(s_RadSpec!M19*s_EF_w*(1/365)*s_ED_com*s_RadSpec!R19*(s_ET_w_o+s_ET_w_i)*(1/24)*s_RadSpec!W19))*1,".")</f>
        <v>10487364.458487926</v>
      </c>
      <c r="Q19" s="22">
        <f>IFERROR((s_TR/(s_RadSpec!N19*s_EF_w*(1/365)*s_ED_com*s_RadSpec!S19*(s_ET_w_o+s_ET_w_i)*(1/24)*s_RadSpec!X19))*1,".")</f>
        <v>2581418.5645621819</v>
      </c>
      <c r="R19" s="22">
        <f>IFERROR((s_TR/(s_RadSpec!O19*s_EF_w*(1/365)*s_ED_com*s_RadSpec!T19*(s_ET_w_o+s_ET_w_i)*(1/24)*s_RadSpec!Y19))*1,".")</f>
        <v>1382500.4113033414</v>
      </c>
      <c r="S19" s="22">
        <f>IFERROR((s_TR/(s_RadSpec!K19*s_EF_w*(1/365)*s_ED_com*s_RadSpec!P19*(s_ET_w_o+s_ET_w_i)*(1/24)*s_RadSpec!U19))*1,".")</f>
        <v>18561183.817684766</v>
      </c>
      <c r="T19" s="43">
        <f>s_C*s_EF_w*(1/365)*s_ED_com*(s_ET_w_o+s_ET_w_i)*(1/24)*s_RadSpec!V19*s_RadSpec!Q19*1</f>
        <v>0.27360078277886496</v>
      </c>
      <c r="U19" s="43">
        <f>s_C*s_EF_w*(1/365)*s_ED_com*(s_ET_w_o+s_ET_w_i)*(1/24)*s_RadSpec!W19*s_RadSpec!R19*1</f>
        <v>0.13794508819665979</v>
      </c>
      <c r="V19" s="43">
        <f>s_C*s_EF_w*(1/365)*s_ED_com*(s_ET_w_o+s_ET_w_i)*(1/24)*s_RadSpec!X19*s_RadSpec!S19*1</f>
        <v>0.1989977555916724</v>
      </c>
      <c r="W19" s="43">
        <f>s_C*s_EF_w*(1/365)*s_ED_com*(s_ET_w_o+s_ET_w_i)*(1/24)*s_RadSpec!Y19*s_RadSpec!T19*1</f>
        <v>0.23826249853647125</v>
      </c>
      <c r="X19" s="43">
        <f>s_C*s_EF_w*(1/365)*s_ED_com*(s_ET_w_o+s_ET_w_i)*(1/24)*s_RadSpec!U19*s_RadSpec!P19*1</f>
        <v>8.0106204263125327E-2</v>
      </c>
      <c r="Y19" s="11"/>
      <c r="Z19" s="11"/>
      <c r="AA19" s="11"/>
      <c r="AB19" s="11"/>
      <c r="AC19" s="11"/>
      <c r="AD19" s="22" t="str">
        <f>IFERROR(s_TR/(s_RadSpec!G19*s_EF_w*s_ED_com*(s_ET_w_o+s_ET_w_i)*(1/24)*s_IRA_w),".")</f>
        <v>.</v>
      </c>
      <c r="AE19" s="22">
        <f>IFERROR(s_TR/(s_RadSpec!J19*s_EF_w*(1/365)*s_ED_com*(s_ET_w_o+s_ET_w_i)*(1/24)*s_GSF_a),".")</f>
        <v>197690880.0704295</v>
      </c>
      <c r="AF19" s="22">
        <f t="shared" si="6"/>
        <v>197690880.0704295</v>
      </c>
      <c r="AG19" s="43">
        <f t="shared" si="4"/>
        <v>34375</v>
      </c>
      <c r="AH19" s="43">
        <f t="shared" si="5"/>
        <v>1.5696347031963471</v>
      </c>
      <c r="AI19" s="10"/>
      <c r="AJ19" s="10"/>
      <c r="AK19" s="10"/>
    </row>
    <row r="20" spans="1:37" x14ac:dyDescent="0.25">
      <c r="A20" s="23" t="s">
        <v>30</v>
      </c>
      <c r="B20" s="24" t="s">
        <v>289</v>
      </c>
      <c r="C20" s="109"/>
      <c r="D20" s="22" t="str">
        <f>IFERROR((s_TR/(s_RadSpec!I20*s_EF_w*s_ED_com*s_IRS_w*(1/1000)))*1,".")</f>
        <v>.</v>
      </c>
      <c r="E20" s="22" t="str">
        <f>IFERROR(IF(A20="H-3",(s_TR/(s_RadSpec!G20*s_EF_w*s_ED_com*(s_ET_w_o+s_ET_w_i)*(1/24)*s_IRA_w*(1/17)*1000))*1,(s_TR/(s_RadSpec!G20*s_EF_w*s_ED_com*(s_ET_w_o+s_ET_w_i)*(1/24)*s_IRA_w*(1/s_PEF_wind)*1000))*1),".")</f>
        <v>.</v>
      </c>
      <c r="F20" s="22">
        <f>IFERROR((s_TR/(s_RadSpec!F20*s_EF_w*(1/365)*s_ED_com*s_RadSpec!Q20*(s_ET_w_o+s_ET_w_i)*(1/24)*s_RadSpec!V20))*1,".")</f>
        <v>466360.04487258772</v>
      </c>
      <c r="G20" s="22">
        <f t="shared" si="0"/>
        <v>466360.04487258778</v>
      </c>
      <c r="H20" s="43">
        <f t="shared" si="1"/>
        <v>137.5</v>
      </c>
      <c r="I20" s="43">
        <f t="shared" si="2"/>
        <v>0.11080293013295324</v>
      </c>
      <c r="J20" s="43">
        <f>s_C*s_EF_w*(1/365)*s_ED_com*(s_ET_w_o+s_ET_w_i)*(1/24)*s_RadSpec!V20*s_RadSpec!Q20*1</f>
        <v>0.27824606929341444</v>
      </c>
      <c r="K20" s="4"/>
      <c r="L20" s="4"/>
      <c r="M20" s="4"/>
      <c r="N20" s="4"/>
      <c r="O20" s="22">
        <f>IFERROR((s_TR/(s_RadSpec!F20*s_EF_w*(1/365)*s_ED_com*s_RadSpec!Q20*(s_ET_w_o+s_ET_w_i)*(1/24)*s_RadSpec!V20))*1,".")</f>
        <v>466360.04487258772</v>
      </c>
      <c r="P20" s="22">
        <f>IFERROR((s_TR/(s_RadSpec!M20*s_EF_w*(1/365)*s_ED_com*s_RadSpec!R20*(s_ET_w_o+s_ET_w_i)*(1/24)*s_RadSpec!W20))*1,".")</f>
        <v>4649249.9772684826</v>
      </c>
      <c r="Q20" s="22">
        <f>IFERROR((s_TR/(s_RadSpec!N20*s_EF_w*(1/365)*s_ED_com*s_RadSpec!S20*(s_ET_w_o+s_ET_w_i)*(1/24)*s_RadSpec!X20))*1,".")</f>
        <v>1154101.9784331401</v>
      </c>
      <c r="R20" s="22">
        <f>IFERROR((s_TR/(s_RadSpec!O20*s_EF_w*(1/365)*s_ED_com*s_RadSpec!T20*(s_ET_w_o+s_ET_w_i)*(1/24)*s_RadSpec!Y20))*1,".")</f>
        <v>616987.6167473885</v>
      </c>
      <c r="S20" s="22">
        <f>IFERROR((s_TR/(s_RadSpec!K20*s_EF_w*(1/365)*s_ED_com*s_RadSpec!P20*(s_ET_w_o+s_ET_w_i)*(1/24)*s_RadSpec!U20))*1,".")</f>
        <v>8131408.1959956642</v>
      </c>
      <c r="T20" s="43">
        <f>s_C*s_EF_w*(1/365)*s_ED_com*(s_ET_w_o+s_ET_w_i)*(1/24)*s_RadSpec!V20*s_RadSpec!Q20*1</f>
        <v>0.27824606929341444</v>
      </c>
      <c r="U20" s="43">
        <f>s_C*s_EF_w*(1/365)*s_ED_com*(s_ET_w_o+s_ET_w_i)*(1/24)*s_RadSpec!W20*s_RadSpec!R20*1</f>
        <v>0.14109163617799711</v>
      </c>
      <c r="V20" s="43">
        <f>s_C*s_EF_w*(1/365)*s_ED_com*(s_ET_w_o+s_ET_w_i)*(1/24)*s_RadSpec!X20*s_RadSpec!S20*1</f>
        <v>0.20165189363416597</v>
      </c>
      <c r="W20" s="43">
        <f>s_C*s_EF_w*(1/365)*s_ED_com*(s_ET_w_o+s_ET_w_i)*(1/24)*s_RadSpec!Y20*s_RadSpec!T20*1</f>
        <v>0.24015410958904101</v>
      </c>
      <c r="X20" s="43">
        <f>s_C*s_EF_w*(1/365)*s_ED_com*(s_ET_w_o+s_ET_w_i)*(1/24)*s_RadSpec!U20*s_RadSpec!P20*1</f>
        <v>8.2802115828021133E-2</v>
      </c>
      <c r="Y20" s="11"/>
      <c r="Z20" s="11"/>
      <c r="AA20" s="11"/>
      <c r="AB20" s="11"/>
      <c r="AC20" s="11"/>
      <c r="AD20" s="22" t="str">
        <f>IFERROR(s_TR/(s_RadSpec!G20*s_EF_w*s_ED_com*(s_ET_w_o+s_ET_w_i)*(1/24)*s_IRA_w),".")</f>
        <v>.</v>
      </c>
      <c r="AE20" s="22">
        <f>IFERROR(s_TR/(s_RadSpec!J20*s_EF_w*(1/365)*s_ED_com*(s_ET_w_o+s_ET_w_i)*(1/24)*s_GSF_a),".")</f>
        <v>89154710.619997621</v>
      </c>
      <c r="AF20" s="22">
        <f t="shared" si="6"/>
        <v>89154710.619997621</v>
      </c>
      <c r="AG20" s="43">
        <f t="shared" si="4"/>
        <v>34375</v>
      </c>
      <c r="AH20" s="43">
        <f t="shared" si="5"/>
        <v>1.5696347031963471</v>
      </c>
      <c r="AI20" s="10"/>
      <c r="AJ20" s="10"/>
      <c r="AK20" s="10"/>
    </row>
    <row r="21" spans="1:37" x14ac:dyDescent="0.25">
      <c r="A21" s="23" t="s">
        <v>31</v>
      </c>
      <c r="B21" s="24" t="s">
        <v>289</v>
      </c>
      <c r="C21" s="109"/>
      <c r="D21" s="22" t="str">
        <f>IFERROR((s_TR/(s_RadSpec!I21*s_EF_w*s_ED_com*s_IRS_w*(1/1000)))*1,".")</f>
        <v>.</v>
      </c>
      <c r="E21" s="22">
        <f>IFERROR(IF(A21="H-3",(s_TR/(s_RadSpec!G21*s_EF_w*s_ED_com*(s_ET_w_o+s_ET_w_i)*(1/24)*s_IRA_w*(1/17)*1000))*1,(s_TR/(s_RadSpec!G21*s_EF_w*s_ED_com*(s_ET_w_o+s_ET_w_i)*(1/24)*s_IRA_w*(1/s_PEF_wind)*1000))*1),".")</f>
        <v>32464144.20486949</v>
      </c>
      <c r="F21" s="22" t="str">
        <f>IFERROR((s_TR/(s_RadSpec!F21*s_EF_w*(1/365)*s_ED_com*s_RadSpec!Q21*(s_ET_w_o+s_ET_w_i)*(1/24)*s_RadSpec!V21))*1,".")</f>
        <v>.</v>
      </c>
      <c r="G21" s="22">
        <f t="shared" si="0"/>
        <v>32464144.204869494</v>
      </c>
      <c r="H21" s="43">
        <f t="shared" si="1"/>
        <v>137.5</v>
      </c>
      <c r="I21" s="43">
        <f t="shared" si="2"/>
        <v>0.11080293013295324</v>
      </c>
      <c r="J21" s="43">
        <f>s_C*s_EF_w*(1/365)*s_ED_com*(s_ET_w_o+s_ET_w_i)*(1/24)*s_RadSpec!V21*s_RadSpec!Q21*1</f>
        <v>0</v>
      </c>
      <c r="K21" s="4"/>
      <c r="L21" s="4"/>
      <c r="M21" s="4"/>
      <c r="N21" s="4"/>
      <c r="O21" s="22" t="str">
        <f>IFERROR((s_TR/(s_RadSpec!F21*s_EF_w*(1/365)*s_ED_com*s_RadSpec!Q21*(s_ET_w_o+s_ET_w_i)*(1/24)*s_RadSpec!V21))*1,".")</f>
        <v>.</v>
      </c>
      <c r="P21" s="22" t="str">
        <f>IFERROR((s_TR/(s_RadSpec!M21*s_EF_w*(1/365)*s_ED_com*s_RadSpec!R21*(s_ET_w_o+s_ET_w_i)*(1/24)*s_RadSpec!W21))*1,".")</f>
        <v>.</v>
      </c>
      <c r="Q21" s="22" t="str">
        <f>IFERROR((s_TR/(s_RadSpec!N21*s_EF_w*(1/365)*s_ED_com*s_RadSpec!S21*(s_ET_w_o+s_ET_w_i)*(1/24)*s_RadSpec!X21))*1,".")</f>
        <v>.</v>
      </c>
      <c r="R21" s="22" t="str">
        <f>IFERROR((s_TR/(s_RadSpec!O21*s_EF_w*(1/365)*s_ED_com*s_RadSpec!T21*(s_ET_w_o+s_ET_w_i)*(1/24)*s_RadSpec!Y21))*1,".")</f>
        <v>.</v>
      </c>
      <c r="S21" s="22" t="str">
        <f>IFERROR((s_TR/(s_RadSpec!K21*s_EF_w*(1/365)*s_ED_com*s_RadSpec!P21*(s_ET_w_o+s_ET_w_i)*(1/24)*s_RadSpec!U21))*1,".")</f>
        <v>.</v>
      </c>
      <c r="T21" s="43">
        <f>s_C*s_EF_w*(1/365)*s_ED_com*(s_ET_w_o+s_ET_w_i)*(1/24)*s_RadSpec!V21*s_RadSpec!Q21*1</f>
        <v>0</v>
      </c>
      <c r="U21" s="43">
        <f>s_C*s_EF_w*(1/365)*s_ED_com*(s_ET_w_o+s_ET_w_i)*(1/24)*s_RadSpec!W21*s_RadSpec!R21*1</f>
        <v>0</v>
      </c>
      <c r="V21" s="43">
        <f>s_C*s_EF_w*(1/365)*s_ED_com*(s_ET_w_o+s_ET_w_i)*(1/24)*s_RadSpec!X21*s_RadSpec!S21*1</f>
        <v>0</v>
      </c>
      <c r="W21" s="43">
        <f>s_C*s_EF_w*(1/365)*s_ED_com*(s_ET_w_o+s_ET_w_i)*(1/24)*s_RadSpec!Y21*s_RadSpec!T21*1</f>
        <v>0</v>
      </c>
      <c r="X21" s="43">
        <f>s_C*s_EF_w*(1/365)*s_ED_com*(s_ET_w_o+s_ET_w_i)*(1/24)*s_RadSpec!U21*s_RadSpec!P21*1</f>
        <v>0</v>
      </c>
      <c r="Y21" s="11"/>
      <c r="Z21" s="11"/>
      <c r="AA21" s="11"/>
      <c r="AB21" s="11"/>
      <c r="AC21" s="11"/>
      <c r="AD21" s="22">
        <f>IFERROR(s_TR/(s_RadSpec!G21*s_EF_w*s_ED_com*(s_ET_w_o+s_ET_w_i)*(1/24)*s_IRA_w),".")</f>
        <v>104.64355788096796</v>
      </c>
      <c r="AE21" s="22">
        <f>IFERROR(s_TR/(s_RadSpec!J21*s_EF_w*(1/365)*s_ED_com*(s_ET_w_o+s_ET_w_i)*(1/24)*s_GSF_a),".")</f>
        <v>807140279577.49329</v>
      </c>
      <c r="AF21" s="22">
        <f t="shared" si="6"/>
        <v>104.64355786740121</v>
      </c>
      <c r="AG21" s="43">
        <f t="shared" si="4"/>
        <v>34375</v>
      </c>
      <c r="AH21" s="43">
        <f t="shared" si="5"/>
        <v>1.5696347031963471</v>
      </c>
      <c r="AI21" s="10"/>
      <c r="AJ21" s="10"/>
      <c r="AK21" s="10"/>
    </row>
    <row r="22" spans="1:37" x14ac:dyDescent="0.25">
      <c r="A22" s="23" t="s">
        <v>32</v>
      </c>
      <c r="B22" s="24" t="s">
        <v>289</v>
      </c>
      <c r="C22" s="2"/>
      <c r="D22" s="22">
        <f>IFERROR((s_TR/(s_RadSpec!I22*s_EF_w*s_ED_com*s_IRS_w*(1/1000)))*1,".")</f>
        <v>4889.5571283631007</v>
      </c>
      <c r="E22" s="22">
        <f>IFERROR(IF(A22="H-3",(s_TR/(s_RadSpec!G22*s_EF_w*s_ED_com*(s_ET_w_o+s_ET_w_i)*(1/24)*s_IRA_w*(1/17)*1000))*1,(s_TR/(s_RadSpec!G22*s_EF_w*s_ED_com*(s_ET_w_o+s_ET_w_i)*(1/24)*s_IRA_w*(1/s_PEF_wind)*1000))*1),".")</f>
        <v>17250.33848570993</v>
      </c>
      <c r="F22" s="22">
        <f>IFERROR((s_TR/(s_RadSpec!F22*s_EF_w*(1/365)*s_ED_com*s_RadSpec!Q22*(s_ET_w_o+s_ET_w_i)*(1/24)*s_RadSpec!V22))*1,".")</f>
        <v>125149557165.41487</v>
      </c>
      <c r="G22" s="22">
        <f t="shared" si="0"/>
        <v>3809.7068934802578</v>
      </c>
      <c r="H22" s="43">
        <f t="shared" si="1"/>
        <v>137.5</v>
      </c>
      <c r="I22" s="43">
        <f t="shared" si="2"/>
        <v>0.11080293013295324</v>
      </c>
      <c r="J22" s="43">
        <f>s_C*s_EF_w*(1/365)*s_ED_com*(s_ET_w_o+s_ET_w_i)*(1/24)*s_RadSpec!V22*s_RadSpec!Q22*1</f>
        <v>6.5423429645830922E-8</v>
      </c>
      <c r="K22" s="4"/>
      <c r="L22" s="4"/>
      <c r="M22" s="4"/>
      <c r="N22" s="4"/>
      <c r="O22" s="22">
        <f>IFERROR((s_TR/(s_RadSpec!F22*s_EF_w*(1/365)*s_ED_com*s_RadSpec!Q22*(s_ET_w_o+s_ET_w_i)*(1/24)*s_RadSpec!V22))*1,".")</f>
        <v>125149557165.41487</v>
      </c>
      <c r="P22" s="22">
        <f>IFERROR((s_TR/(s_RadSpec!M22*s_EF_w*(1/365)*s_ED_com*s_RadSpec!R22*(s_ET_w_o+s_ET_w_i)*(1/24)*s_RadSpec!W22))*1,".")</f>
        <v>157500375364.1293</v>
      </c>
      <c r="Q22" s="22">
        <f>IFERROR((s_TR/(s_RadSpec!N22*s_EF_w*(1/365)*s_ED_com*s_RadSpec!S22*(s_ET_w_o+s_ET_w_i)*(1/24)*s_RadSpec!X22))*1,".")</f>
        <v>88611033432.008713</v>
      </c>
      <c r="R22" s="22">
        <f>IFERROR((s_TR/(s_RadSpec!O22*s_EF_w*(1/365)*s_ED_com*s_RadSpec!T22*(s_ET_w_o+s_ET_w_i)*(1/24)*s_RadSpec!Y22))*1,".")</f>
        <v>90961395817.846573</v>
      </c>
      <c r="S22" s="22">
        <f>IFERROR((s_TR/(s_RadSpec!K22*s_EF_w*(1/365)*s_ED_com*s_RadSpec!P22*(s_ET_w_o+s_ET_w_i)*(1/24)*s_RadSpec!U22))*1,".")</f>
        <v>445068164946.88446</v>
      </c>
      <c r="T22" s="43">
        <f>s_C*s_EF_w*(1/365)*s_ED_com*(s_ET_w_o+s_ET_w_i)*(1/24)*s_RadSpec!V22*s_RadSpec!Q22*1</f>
        <v>6.5423429645830922E-8</v>
      </c>
      <c r="U22" s="43">
        <f>s_C*s_EF_w*(1/365)*s_ED_com*(s_ET_w_o+s_ET_w_i)*(1/24)*s_RadSpec!W22*s_RadSpec!R22*1</f>
        <v>7.1397956239072443E-8</v>
      </c>
      <c r="V22" s="43">
        <f>s_C*s_EF_w*(1/365)*s_ED_com*(s_ET_w_o+s_ET_w_i)*(1/24)*s_RadSpec!X22*s_RadSpec!S22*1</f>
        <v>9.2933687111769299E-8</v>
      </c>
      <c r="W22" s="43">
        <f>s_C*s_EF_w*(1/365)*s_ED_com*(s_ET_w_o+s_ET_w_i)*(1/24)*s_RadSpec!Y22*s_RadSpec!T22*1</f>
        <v>9.0185495166194156E-8</v>
      </c>
      <c r="X22" s="43">
        <f>s_C*s_EF_w*(1/365)*s_ED_com*(s_ET_w_o+s_ET_w_i)*(1/24)*s_RadSpec!U22*s_RadSpec!P22*1</f>
        <v>1.2709893243406304E-8</v>
      </c>
      <c r="Y22" s="11"/>
      <c r="Z22" s="11"/>
      <c r="AA22" s="11"/>
      <c r="AB22" s="11"/>
      <c r="AC22" s="11"/>
      <c r="AD22" s="22">
        <f>IFERROR(s_TR/(s_RadSpec!G22*s_EF_w*s_ED_com*(s_ET_w_o+s_ET_w_i)*(1/24)*s_IRA_w),".")</f>
        <v>5.5604016000055607E-2</v>
      </c>
      <c r="AE22" s="22">
        <f>IFERROR(s_TR/(s_RadSpec!J22*s_EF_w*(1/365)*s_ED_com*(s_ET_w_o+s_ET_w_i)*(1/24)*s_GSF_a),".")</f>
        <v>1726667.1803619796</v>
      </c>
      <c r="AF22" s="22">
        <f t="shared" si="6"/>
        <v>5.5604014209434623E-2</v>
      </c>
      <c r="AG22" s="43">
        <f t="shared" si="4"/>
        <v>34375</v>
      </c>
      <c r="AH22" s="43">
        <f t="shared" si="5"/>
        <v>1.5696347031963471</v>
      </c>
      <c r="AI22" s="10"/>
      <c r="AJ22" s="10"/>
      <c r="AK22" s="10"/>
    </row>
    <row r="23" spans="1:37" x14ac:dyDescent="0.25">
      <c r="A23" s="25" t="s">
        <v>33</v>
      </c>
      <c r="B23" s="24" t="s">
        <v>275</v>
      </c>
      <c r="C23" s="109"/>
      <c r="D23" s="22">
        <f>IFERROR((s_TR/(s_RadSpec!I23*s_EF_w*s_ED_com*s_IRS_w*(1/1000)))*1,".")</f>
        <v>1234.6746015087724</v>
      </c>
      <c r="E23" s="22">
        <f>IFERROR(IF(A23="H-3",(s_TR/(s_RadSpec!G23*s_EF_w*s_ED_com*(s_ET_w_o+s_ET_w_i)*(1/24)*s_IRA_w*(1/17)*1000))*1,(s_TR/(s_RadSpec!G23*s_EF_w*s_ED_com*(s_ET_w_o+s_ET_w_i)*(1/24)*s_IRA_w*(1/s_PEF_wind)*1000))*1),".")</f>
        <v>16026.267160836949</v>
      </c>
      <c r="F23" s="22">
        <f>IFERROR((s_TR/(s_RadSpec!F23*s_EF_w*(1/365)*s_ED_com*s_RadSpec!Q23*(s_ET_w_o+s_ET_w_i)*(1/24)*s_RadSpec!V23))*1,".")</f>
        <v>7004.3407599423999</v>
      </c>
      <c r="G23" s="22">
        <f t="shared" si="0"/>
        <v>985.12833237165194</v>
      </c>
      <c r="H23" s="43">
        <f t="shared" si="1"/>
        <v>137.5</v>
      </c>
      <c r="I23" s="43">
        <f t="shared" si="2"/>
        <v>0.11080293013295324</v>
      </c>
      <c r="J23" s="43">
        <f>s_C*s_EF_w*(1/365)*s_ED_com*(s_ET_w_o+s_ET_w_i)*(1/24)*s_RadSpec!V23*s_RadSpec!Q23*1</f>
        <v>0.28568226046476142</v>
      </c>
      <c r="K23" s="4"/>
      <c r="L23" s="4"/>
      <c r="M23" s="4"/>
      <c r="N23" s="4"/>
      <c r="O23" s="22">
        <f>IFERROR((s_TR/(s_RadSpec!F23*s_EF_w*(1/365)*s_ED_com*s_RadSpec!Q23*(s_ET_w_o+s_ET_w_i)*(1/24)*s_RadSpec!V23))*1,".")</f>
        <v>7004.3407599423999</v>
      </c>
      <c r="P23" s="22">
        <f>IFERROR((s_TR/(s_RadSpec!M23*s_EF_w*(1/365)*s_ED_com*s_RadSpec!R23*(s_ET_w_o+s_ET_w_i)*(1/24)*s_RadSpec!W23))*1,".")</f>
        <v>49191.033953105143</v>
      </c>
      <c r="Q23" s="22">
        <f>IFERROR((s_TR/(s_RadSpec!N23*s_EF_w*(1/365)*s_ED_com*s_RadSpec!S23*(s_ET_w_o+s_ET_w_i)*(1/24)*s_RadSpec!X23))*1,".")</f>
        <v>12722.160963188748</v>
      </c>
      <c r="R23" s="22">
        <f>IFERROR((s_TR/(s_RadSpec!O23*s_EF_w*(1/365)*s_ED_com*s_RadSpec!T23*(s_ET_w_o+s_ET_w_i)*(1/24)*s_RadSpec!Y23))*1,".")</f>
        <v>7422.8079282573035</v>
      </c>
      <c r="S23" s="22">
        <f>IFERROR((s_TR/(s_RadSpec!K23*s_EF_w*(1/365)*s_ED_com*s_RadSpec!P23*(s_ET_w_o+s_ET_w_i)*(1/24)*s_RadSpec!U23))*1,".")</f>
        <v>78505.422140040173</v>
      </c>
      <c r="T23" s="43">
        <f>s_C*s_EF_w*(1/365)*s_ED_com*(s_ET_w_o+s_ET_w_i)*(1/24)*s_RadSpec!V23*s_RadSpec!Q23*1</f>
        <v>0.28568226046476142</v>
      </c>
      <c r="U23" s="43">
        <f>s_C*s_EF_w*(1/365)*s_ED_com*(s_ET_w_o+s_ET_w_i)*(1/24)*s_RadSpec!W23*s_RadSpec!R23*1</f>
        <v>0.16049395567028901</v>
      </c>
      <c r="V23" s="43">
        <f>s_C*s_EF_w*(1/365)*s_ED_com*(s_ET_w_o+s_ET_w_i)*(1/24)*s_RadSpec!X23*s_RadSpec!S23*1</f>
        <v>0.22696676943558855</v>
      </c>
      <c r="W23" s="43">
        <f>s_C*s_EF_w*(1/365)*s_ED_com*(s_ET_w_o+s_ET_w_i)*(1/24)*s_RadSpec!Y23*s_RadSpec!T23*1</f>
        <v>0.27735292813760704</v>
      </c>
      <c r="X23" s="43">
        <f>s_C*s_EF_w*(1/365)*s_ED_com*(s_ET_w_o+s_ET_w_i)*(1/24)*s_RadSpec!U23*s_RadSpec!P23*1</f>
        <v>0.10195555144185284</v>
      </c>
      <c r="Y23" s="11"/>
      <c r="Z23" s="11"/>
      <c r="AA23" s="11"/>
      <c r="AB23" s="11"/>
      <c r="AC23" s="11"/>
      <c r="AD23" s="22">
        <f>IFERROR(s_TR/(s_RadSpec!G23*s_EF_w*s_ED_com*(s_ET_w_o+s_ET_w_i)*(1/24)*s_IRA_w),".")</f>
        <v>5.1658395942232996E-2</v>
      </c>
      <c r="AE23" s="22">
        <f>IFERROR(s_TR/(s_RadSpec!J23*s_EF_w*(1/365)*s_ED_com*(s_ET_w_o+s_ET_w_i)*(1/24)*s_GSF_a),".")</f>
        <v>1118087.7643327571</v>
      </c>
      <c r="AF23" s="22">
        <f t="shared" si="6"/>
        <v>5.1658393555488562E-2</v>
      </c>
      <c r="AG23" s="43">
        <f t="shared" si="4"/>
        <v>34375</v>
      </c>
      <c r="AH23" s="43">
        <f t="shared" si="5"/>
        <v>1.5696347031963471</v>
      </c>
      <c r="AI23" s="10"/>
      <c r="AJ23" s="10"/>
      <c r="AK23" s="10"/>
    </row>
    <row r="24" spans="1:37" x14ac:dyDescent="0.25">
      <c r="A24" s="23" t="s">
        <v>34</v>
      </c>
      <c r="B24" s="24" t="s">
        <v>289</v>
      </c>
      <c r="C24" s="109"/>
      <c r="D24" s="22" t="str">
        <f>IFERROR((s_TR/(s_RadSpec!I24*s_EF_w*s_ED_com*s_IRS_w*(1/1000)))*1,".")</f>
        <v>.</v>
      </c>
      <c r="E24" s="22" t="str">
        <f>IFERROR(IF(A24="H-3",(s_TR/(s_RadSpec!G24*s_EF_w*s_ED_com*(s_ET_w_o+s_ET_w_i)*(1/24)*s_IRA_w*(1/17)*1000))*1,(s_TR/(s_RadSpec!G24*s_EF_w*s_ED_com*(s_ET_w_o+s_ET_w_i)*(1/24)*s_IRA_w*(1/s_PEF_wind)*1000))*1),".")</f>
        <v>.</v>
      </c>
      <c r="F24" s="22">
        <f>IFERROR((s_TR/(s_RadSpec!F24*s_EF_w*(1/365)*s_ED_com*s_RadSpec!Q24*(s_ET_w_o+s_ET_w_i)*(1/24)*s_RadSpec!V24))*1,".")</f>
        <v>67757.817583539436</v>
      </c>
      <c r="G24" s="22">
        <f t="shared" si="0"/>
        <v>67757.817583539436</v>
      </c>
      <c r="H24" s="43">
        <f t="shared" si="1"/>
        <v>137.5</v>
      </c>
      <c r="I24" s="43">
        <f t="shared" si="2"/>
        <v>0.11080293013295324</v>
      </c>
      <c r="J24" s="43">
        <f>s_C*s_EF_w*(1/365)*s_ED_com*(s_ET_w_o+s_ET_w_i)*(1/24)*s_RadSpec!V24*s_RadSpec!Q24*1</f>
        <v>0.21792492538455643</v>
      </c>
      <c r="K24" s="4"/>
      <c r="L24" s="4"/>
      <c r="M24" s="4"/>
      <c r="N24" s="4"/>
      <c r="O24" s="22">
        <f>IFERROR((s_TR/(s_RadSpec!F24*s_EF_w*(1/365)*s_ED_com*s_RadSpec!Q24*(s_ET_w_o+s_ET_w_i)*(1/24)*s_RadSpec!V24))*1,".")</f>
        <v>67757.817583539436</v>
      </c>
      <c r="P24" s="22">
        <f>IFERROR((s_TR/(s_RadSpec!M24*s_EF_w*(1/365)*s_ED_com*s_RadSpec!R24*(s_ET_w_o+s_ET_w_i)*(1/24)*s_RadSpec!W24))*1,".")</f>
        <v>596939.03773865546</v>
      </c>
      <c r="Q24" s="22">
        <f>IFERROR((s_TR/(s_RadSpec!N24*s_EF_w*(1/365)*s_ED_com*s_RadSpec!S24*(s_ET_w_o+s_ET_w_i)*(1/24)*s_RadSpec!X24))*1,".")</f>
        <v>149724.87624003022</v>
      </c>
      <c r="R24" s="22">
        <f>IFERROR((s_TR/(s_RadSpec!O24*s_EF_w*(1/365)*s_ED_com*s_RadSpec!T24*(s_ET_w_o+s_ET_w_i)*(1/24)*s_RadSpec!Y24))*1,".")</f>
        <v>80788.602051951122</v>
      </c>
      <c r="S24" s="22">
        <f>IFERROR((s_TR/(s_RadSpec!K24*s_EF_w*(1/365)*s_ED_com*s_RadSpec!P24*(s_ET_w_o+s_ET_w_i)*(1/24)*s_RadSpec!U24))*1,".")</f>
        <v>1015600.4252953754</v>
      </c>
      <c r="T24" s="43">
        <f>s_C*s_EF_w*(1/365)*s_ED_com*(s_ET_w_o+s_ET_w_i)*(1/24)*s_RadSpec!V24*s_RadSpec!Q24*1</f>
        <v>0.21792492538455643</v>
      </c>
      <c r="U24" s="43">
        <f>s_C*s_EF_w*(1/365)*s_ED_com*(s_ET_w_o+s_ET_w_i)*(1/24)*s_RadSpec!W24*s_RadSpec!R24*1</f>
        <v>0.12020029057700292</v>
      </c>
      <c r="V24" s="43">
        <f>s_C*s_EF_w*(1/365)*s_ED_com*(s_ET_w_o+s_ET_w_i)*(1/24)*s_RadSpec!X24*s_RadSpec!S24*1</f>
        <v>0.17023978756661629</v>
      </c>
      <c r="W24" s="43">
        <f>s_C*s_EF_w*(1/365)*s_ED_com*(s_ET_w_o+s_ET_w_i)*(1/24)*s_RadSpec!Y24*s_RadSpec!T24*1</f>
        <v>0.20386415525114157</v>
      </c>
      <c r="X24" s="43">
        <f>s_C*s_EF_w*(1/365)*s_ED_com*(s_ET_w_o+s_ET_w_i)*(1/24)*s_RadSpec!U24*s_RadSpec!P24*1</f>
        <v>7.2322409109300073E-2</v>
      </c>
      <c r="Y24" s="11"/>
      <c r="Z24" s="11"/>
      <c r="AA24" s="11"/>
      <c r="AB24" s="11"/>
      <c r="AC24" s="11"/>
      <c r="AD24" s="22" t="str">
        <f>IFERROR(s_TR/(s_RadSpec!G24*s_EF_w*s_ED_com*(s_ET_w_o+s_ET_w_i)*(1/24)*s_IRA_w),".")</f>
        <v>.</v>
      </c>
      <c r="AE24" s="22">
        <f>IFERROR(s_TR/(s_RadSpec!J24*s_EF_w*(1/365)*s_ED_com*(s_ET_w_o+s_ET_w_i)*(1/24)*s_GSF_a),".")</f>
        <v>9993165.3661975376</v>
      </c>
      <c r="AF24" s="22">
        <f t="shared" si="6"/>
        <v>9993165.3661975376</v>
      </c>
      <c r="AG24" s="43">
        <f t="shared" si="4"/>
        <v>34375</v>
      </c>
      <c r="AH24" s="43">
        <f t="shared" si="5"/>
        <v>1.5696347031963471</v>
      </c>
      <c r="AI24" s="10"/>
      <c r="AJ24" s="10"/>
      <c r="AK24" s="10"/>
    </row>
    <row r="25" spans="1:37" x14ac:dyDescent="0.25">
      <c r="A25" s="25" t="s">
        <v>35</v>
      </c>
      <c r="B25" s="24" t="s">
        <v>275</v>
      </c>
      <c r="C25" s="109"/>
      <c r="D25" s="22" t="str">
        <f>IFERROR((s_TR/(s_RadSpec!I25*s_EF_w*s_ED_com*s_IRS_w*(1/1000)))*1,".")</f>
        <v>.</v>
      </c>
      <c r="E25" s="22">
        <f>IFERROR(IF(A25="H-3",(s_TR/(s_RadSpec!G25*s_EF_w*s_ED_com*(s_ET_w_o+s_ET_w_i)*(1/24)*s_IRA_w*(1/17)*1000))*1,(s_TR/(s_RadSpec!G25*s_EF_w*s_ED_com*(s_ET_w_o+s_ET_w_i)*(1/24)*s_IRA_w*(1/s_PEF_wind)*1000))*1),".")</f>
        <v>197917370.37179211</v>
      </c>
      <c r="F25" s="22">
        <f>IFERROR((s_TR/(s_RadSpec!F25*s_EF_w*(1/365)*s_ED_com*s_RadSpec!Q25*(s_ET_w_o+s_ET_w_i)*(1/24)*s_RadSpec!V25))*1,".")</f>
        <v>151122.2348689615</v>
      </c>
      <c r="G25" s="22">
        <f t="shared" si="0"/>
        <v>151006.93167474199</v>
      </c>
      <c r="H25" s="43">
        <f t="shared" si="1"/>
        <v>137.5</v>
      </c>
      <c r="I25" s="43">
        <f t="shared" si="2"/>
        <v>0.11080293013295324</v>
      </c>
      <c r="J25" s="43">
        <f>s_C*s_EF_w*(1/365)*s_ED_com*(s_ET_w_o+s_ET_w_i)*(1/24)*s_RadSpec!V25*s_RadSpec!Q25*1</f>
        <v>0.1954195205479452</v>
      </c>
      <c r="K25" s="4"/>
      <c r="L25" s="4"/>
      <c r="M25" s="4"/>
      <c r="N25" s="4"/>
      <c r="O25" s="22">
        <f>IFERROR((s_TR/(s_RadSpec!F25*s_EF_w*(1/365)*s_ED_com*s_RadSpec!Q25*(s_ET_w_o+s_ET_w_i)*(1/24)*s_RadSpec!V25))*1,".")</f>
        <v>151122.2348689615</v>
      </c>
      <c r="P25" s="22">
        <f>IFERROR((s_TR/(s_RadSpec!M25*s_EF_w*(1/365)*s_ED_com*s_RadSpec!R25*(s_ET_w_o+s_ET_w_i)*(1/24)*s_RadSpec!W25))*1,".")</f>
        <v>1284068.7702228804</v>
      </c>
      <c r="Q25" s="22">
        <f>IFERROR((s_TR/(s_RadSpec!N25*s_EF_w*(1/365)*s_ED_com*s_RadSpec!S25*(s_ET_w_o+s_ET_w_i)*(1/24)*s_RadSpec!X25))*1,".")</f>
        <v>326390.11626016838</v>
      </c>
      <c r="R25" s="22">
        <f>IFERROR((s_TR/(s_RadSpec!O25*s_EF_w*(1/365)*s_ED_com*s_RadSpec!T25*(s_ET_w_o+s_ET_w_i)*(1/24)*s_RadSpec!Y25))*1,".")</f>
        <v>190419.32978219242</v>
      </c>
      <c r="S25" s="22">
        <f>IFERROR((s_TR/(s_RadSpec!K25*s_EF_w*(1/365)*s_ED_com*s_RadSpec!P25*(s_ET_w_o+s_ET_w_i)*(1/24)*s_RadSpec!U25))*1,".")</f>
        <v>2345168.5866387296</v>
      </c>
      <c r="T25" s="43">
        <f>s_C*s_EF_w*(1/365)*s_ED_com*(s_ET_w_o+s_ET_w_i)*(1/24)*s_RadSpec!V25*s_RadSpec!Q25*1</f>
        <v>0.1954195205479452</v>
      </c>
      <c r="U25" s="43">
        <f>s_C*s_EF_w*(1/365)*s_ED_com*(s_ET_w_o+s_ET_w_i)*(1/24)*s_RadSpec!W25*s_RadSpec!R25*1</f>
        <v>0.10912460372858684</v>
      </c>
      <c r="V25" s="43">
        <f>s_C*s_EF_w*(1/365)*s_ED_com*(s_ET_w_o+s_ET_w_i)*(1/24)*s_RadSpec!X25*s_RadSpec!S25*1</f>
        <v>0.15213129646895693</v>
      </c>
      <c r="W25" s="43">
        <f>s_C*s_EF_w*(1/365)*s_ED_com*(s_ET_w_o+s_ET_w_i)*(1/24)*s_RadSpec!Y25*s_RadSpec!T25*1</f>
        <v>0.17036459679503749</v>
      </c>
      <c r="X25" s="43">
        <f>s_C*s_EF_w*(1/365)*s_ED_com*(s_ET_w_o+s_ET_w_i)*(1/24)*s_RadSpec!U25*s_RadSpec!P25*1</f>
        <v>6.0865191146881298E-2</v>
      </c>
      <c r="Y25" s="11"/>
      <c r="Z25" s="11"/>
      <c r="AA25" s="11"/>
      <c r="AB25" s="11"/>
      <c r="AC25" s="11"/>
      <c r="AD25" s="22">
        <f>IFERROR(s_TR/(s_RadSpec!G25*s_EF_w*s_ED_com*(s_ET_w_o+s_ET_w_i)*(1/24)*s_IRA_w),".")</f>
        <v>637.95853269537486</v>
      </c>
      <c r="AE25" s="22">
        <f>IFERROR(s_TR/(s_RadSpec!J25*s_EF_w*(1/365)*s_ED_com*(s_ET_w_o+s_ET_w_i)*(1/24)*s_GSF_a),".")</f>
        <v>19626864.352316026</v>
      </c>
      <c r="AF25" s="22">
        <f t="shared" si="6"/>
        <v>637.93779693985209</v>
      </c>
      <c r="AG25" s="43">
        <f t="shared" si="4"/>
        <v>34375</v>
      </c>
      <c r="AH25" s="43">
        <f t="shared" si="5"/>
        <v>1.5696347031963471</v>
      </c>
      <c r="AI25" s="10"/>
      <c r="AJ25" s="10"/>
      <c r="AK25" s="10"/>
    </row>
    <row r="26" spans="1:37" x14ac:dyDescent="0.25">
      <c r="A26" s="23" t="s">
        <v>36</v>
      </c>
      <c r="B26" s="24" t="s">
        <v>289</v>
      </c>
      <c r="C26" s="2"/>
      <c r="D26" s="22">
        <f>IFERROR((s_TR/(s_RadSpec!I26*s_EF_w*s_ED_com*s_IRS_w*(1/1000)))*1,".")</f>
        <v>1847.3702684229002</v>
      </c>
      <c r="E26" s="22">
        <f>IFERROR(IF(A26="H-3",(s_TR/(s_RadSpec!G26*s_EF_w*s_ED_com*(s_ET_w_o+s_ET_w_i)*(1/24)*s_IRA_w*(1/17)*1000))*1,(s_TR/(s_RadSpec!G26*s_EF_w*s_ED_com*(s_ET_w_o+s_ET_w_i)*(1/24)*s_IRA_w*(1/s_PEF_wind)*1000))*1),".")</f>
        <v>2583.8960401264658</v>
      </c>
      <c r="F26" s="22">
        <f>IFERROR((s_TR/(s_RadSpec!F26*s_EF_w*(1/365)*s_ED_com*s_RadSpec!Q26*(s_ET_w_o+s_ET_w_i)*(1/24)*s_RadSpec!V26))*1,".")</f>
        <v>6222.4927573188697</v>
      </c>
      <c r="G26" s="22">
        <f t="shared" si="0"/>
        <v>918.24854109217824</v>
      </c>
      <c r="H26" s="43">
        <f t="shared" si="1"/>
        <v>137.5</v>
      </c>
      <c r="I26" s="43">
        <f t="shared" si="2"/>
        <v>0.11080293013295324</v>
      </c>
      <c r="J26" s="43">
        <f>s_C*s_EF_w*(1/365)*s_ED_com*(s_ET_w_o+s_ET_w_i)*(1/24)*s_RadSpec!V26*s_RadSpec!Q26*1</f>
        <v>3.5842532251629221E-2</v>
      </c>
      <c r="K26" s="4"/>
      <c r="L26" s="4"/>
      <c r="M26" s="4"/>
      <c r="N26" s="4"/>
      <c r="O26" s="22">
        <f>IFERROR((s_TR/(s_RadSpec!F26*s_EF_w*(1/365)*s_ED_com*s_RadSpec!Q26*(s_ET_w_o+s_ET_w_i)*(1/24)*s_RadSpec!V26))*1,".")</f>
        <v>6222.4927573188697</v>
      </c>
      <c r="P26" s="22">
        <f>IFERROR((s_TR/(s_RadSpec!M26*s_EF_w*(1/365)*s_ED_com*s_RadSpec!R26*(s_ET_w_o+s_ET_w_i)*(1/24)*s_RadSpec!W26))*1,".")</f>
        <v>37659.890904493994</v>
      </c>
      <c r="Q26" s="22">
        <f>IFERROR((s_TR/(s_RadSpec!N26*s_EF_w*(1/365)*s_ED_com*s_RadSpec!S26*(s_ET_w_o+s_ET_w_i)*(1/24)*s_RadSpec!X26))*1,".")</f>
        <v>10791.063407108235</v>
      </c>
      <c r="R26" s="22">
        <f>IFERROR((s_TR/(s_RadSpec!O26*s_EF_w*(1/365)*s_ED_com*s_RadSpec!T26*(s_ET_w_o+s_ET_w_i)*(1/24)*s_RadSpec!Y26))*1,".")</f>
        <v>7097.7174226243296</v>
      </c>
      <c r="S26" s="22">
        <f>IFERROR((s_TR/(s_RadSpec!K26*s_EF_w*(1/365)*s_ED_com*s_RadSpec!P26*(s_ET_w_o+s_ET_w_i)*(1/24)*s_RadSpec!U26))*1,".")</f>
        <v>209794.7011852313</v>
      </c>
      <c r="T26" s="43">
        <f>s_C*s_EF_w*(1/365)*s_ED_com*(s_ET_w_o+s_ET_w_i)*(1/24)*s_RadSpec!V26*s_RadSpec!Q26*1</f>
        <v>3.5842532251629221E-2</v>
      </c>
      <c r="U26" s="43">
        <f>s_C*s_EF_w*(1/365)*s_ED_com*(s_ET_w_o+s_ET_w_i)*(1/24)*s_RadSpec!W26*s_RadSpec!R26*1</f>
        <v>1.9631645466405737E-2</v>
      </c>
      <c r="V26" s="43">
        <f>s_C*s_EF_w*(1/365)*s_ED_com*(s_ET_w_o+s_ET_w_i)*(1/24)*s_RadSpec!X26*s_RadSpec!S26*1</f>
        <v>2.7161256248388527E-2</v>
      </c>
      <c r="W26" s="43">
        <f>s_C*s_EF_w*(1/365)*s_ED_com*(s_ET_w_o+s_ET_w_i)*(1/24)*s_RadSpec!Y26*s_RadSpec!T26*1</f>
        <v>3.1753529627880146E-2</v>
      </c>
      <c r="X26" s="43">
        <f>s_C*s_EF_w*(1/365)*s_ED_com*(s_ET_w_o+s_ET_w_i)*(1/24)*s_RadSpec!U26*s_RadSpec!P26*1</f>
        <v>3.3681945907973296E-3</v>
      </c>
      <c r="Y26" s="11"/>
      <c r="Z26" s="11"/>
      <c r="AA26" s="11"/>
      <c r="AB26" s="11"/>
      <c r="AC26" s="11"/>
      <c r="AD26" s="22">
        <f>IFERROR(s_TR/(s_RadSpec!G26*s_EF_w*s_ED_com*(s_ET_w_o+s_ET_w_i)*(1/24)*s_IRA_w),".")</f>
        <v>8.3288218881439214E-3</v>
      </c>
      <c r="AE26" s="22">
        <f>IFERROR(s_TR/(s_RadSpec!J26*s_EF_w*(1/365)*s_ED_com*(s_ET_w_o+s_ET_w_i)*(1/24)*s_GSF_a),".")</f>
        <v>106153.07957089211</v>
      </c>
      <c r="AF26" s="22">
        <f t="shared" si="6"/>
        <v>8.3288212346605845E-3</v>
      </c>
      <c r="AG26" s="43">
        <f t="shared" si="4"/>
        <v>34375</v>
      </c>
      <c r="AH26" s="43">
        <f t="shared" si="5"/>
        <v>1.5696347031963471</v>
      </c>
      <c r="AI26" s="10"/>
      <c r="AJ26" s="10"/>
      <c r="AK26" s="10"/>
    </row>
    <row r="27" spans="1:37" x14ac:dyDescent="0.25">
      <c r="A27" s="23" t="s">
        <v>37</v>
      </c>
      <c r="B27" s="24" t="s">
        <v>289</v>
      </c>
      <c r="C27" s="109"/>
      <c r="D27" s="22" t="str">
        <f>IFERROR((s_TR/(s_RadSpec!I27*s_EF_w*s_ED_com*s_IRS_w*(1/1000)))*1,".")</f>
        <v>.</v>
      </c>
      <c r="E27" s="22" t="str">
        <f>IFERROR(IF(A27="H-3",(s_TR/(s_RadSpec!G27*s_EF_w*s_ED_com*(s_ET_w_o+s_ET_w_i)*(1/24)*s_IRA_w*(1/17)*1000))*1,(s_TR/(s_RadSpec!G27*s_EF_w*s_ED_com*(s_ET_w_o+s_ET_w_i)*(1/24)*s_IRA_w*(1/s_PEF_wind)*1000))*1),".")</f>
        <v>.</v>
      </c>
      <c r="F27" s="22">
        <f>IFERROR((s_TR/(s_RadSpec!F27*s_EF_w*(1/365)*s_ED_com*s_RadSpec!Q27*(s_ET_w_o+s_ET_w_i)*(1/24)*s_RadSpec!V27))*1,".")</f>
        <v>48130.198099747562</v>
      </c>
      <c r="G27" s="22">
        <f t="shared" si="0"/>
        <v>48130.198099747562</v>
      </c>
      <c r="H27" s="43">
        <f t="shared" si="1"/>
        <v>137.5</v>
      </c>
      <c r="I27" s="43">
        <f t="shared" si="2"/>
        <v>0.11080293013295324</v>
      </c>
      <c r="J27" s="43">
        <f>s_C*s_EF_w*(1/365)*s_ED_com*(s_ET_w_o+s_ET_w_i)*(1/24)*s_RadSpec!V27*s_RadSpec!Q27*1</f>
        <v>0.17011592662572816</v>
      </c>
      <c r="K27" s="4"/>
      <c r="L27" s="4"/>
      <c r="M27" s="4"/>
      <c r="N27" s="4"/>
      <c r="O27" s="22">
        <f>IFERROR((s_TR/(s_RadSpec!F27*s_EF_w*(1/365)*s_ED_com*s_RadSpec!Q27*(s_ET_w_o+s_ET_w_i)*(1/24)*s_RadSpec!V27))*1,".")</f>
        <v>48130.198099747562</v>
      </c>
      <c r="P27" s="22">
        <f>IFERROR((s_TR/(s_RadSpec!M27*s_EF_w*(1/365)*s_ED_com*s_RadSpec!R27*(s_ET_w_o+s_ET_w_i)*(1/24)*s_RadSpec!W27))*1,".")</f>
        <v>420409.48179984686</v>
      </c>
      <c r="Q27" s="22">
        <f>IFERROR((s_TR/(s_RadSpec!N27*s_EF_w*(1/365)*s_ED_com*s_RadSpec!S27*(s_ET_w_o+s_ET_w_i)*(1/24)*s_RadSpec!X27))*1,".")</f>
        <v>121226.40442599941</v>
      </c>
      <c r="R27" s="22">
        <f>IFERROR((s_TR/(s_RadSpec!O27*s_EF_w*(1/365)*s_ED_com*s_RadSpec!T27*(s_ET_w_o+s_ET_w_i)*(1/24)*s_RadSpec!Y27))*1,".")</f>
        <v>66333.884061204531</v>
      </c>
      <c r="S27" s="22">
        <f>IFERROR((s_TR/(s_RadSpec!K27*s_EF_w*(1/365)*s_ED_com*s_RadSpec!P27*(s_ET_w_o+s_ET_w_i)*(1/24)*s_RadSpec!U27))*1,".")</f>
        <v>318187.93653028557</v>
      </c>
      <c r="T27" s="43">
        <f>s_C*s_EF_w*(1/365)*s_ED_com*(s_ET_w_o+s_ET_w_i)*(1/24)*s_RadSpec!V27*s_RadSpec!Q27*1</f>
        <v>0.17011592662572816</v>
      </c>
      <c r="U27" s="43">
        <f>s_C*s_EF_w*(1/365)*s_ED_com*(s_ET_w_o+s_ET_w_i)*(1/24)*s_RadSpec!W27*s_RadSpec!R27*1</f>
        <v>5.7352037232174198E-2</v>
      </c>
      <c r="V27" s="43">
        <f>s_C*s_EF_w*(1/365)*s_ED_com*(s_ET_w_o+s_ET_w_i)*(1/24)*s_RadSpec!X27*s_RadSpec!S27*1</f>
        <v>9.35481284647455E-2</v>
      </c>
      <c r="W27" s="43">
        <f>s_C*s_EF_w*(1/365)*s_ED_com*(s_ET_w_o+s_ET_w_i)*(1/24)*s_RadSpec!Y27*s_RadSpec!T27*1</f>
        <v>0.12859532153096981</v>
      </c>
      <c r="X27" s="43">
        <f>s_C*s_EF_w*(1/365)*s_ED_com*(s_ET_w_o+s_ET_w_i)*(1/24)*s_RadSpec!U27*s_RadSpec!P27*1</f>
        <v>1.8335153199655875E-2</v>
      </c>
      <c r="Y27" s="11"/>
      <c r="Z27" s="11"/>
      <c r="AA27" s="11"/>
      <c r="AB27" s="11"/>
      <c r="AC27" s="11"/>
      <c r="AD27" s="22" t="str">
        <f>IFERROR(s_TR/(s_RadSpec!G27*s_EF_w*s_ED_com*(s_ET_w_o+s_ET_w_i)*(1/24)*s_IRA_w),".")</f>
        <v>.</v>
      </c>
      <c r="AE27" s="22">
        <f>IFERROR(s_TR/(s_RadSpec!J27*s_EF_w*(1/365)*s_ED_com*(s_ET_w_o+s_ET_w_i)*(1/24)*s_GSF_a),".")</f>
        <v>3388986.5154930782</v>
      </c>
      <c r="AF27" s="22">
        <f t="shared" si="6"/>
        <v>3388986.5154930782</v>
      </c>
      <c r="AG27" s="43">
        <f t="shared" si="4"/>
        <v>34375</v>
      </c>
      <c r="AH27" s="43">
        <f t="shared" si="5"/>
        <v>1.5696347031963471</v>
      </c>
      <c r="AI27" s="10"/>
      <c r="AJ27" s="10"/>
      <c r="AK27" s="10"/>
    </row>
    <row r="28" spans="1:37" x14ac:dyDescent="0.25">
      <c r="A28" s="23" t="s">
        <v>38</v>
      </c>
      <c r="B28" s="24" t="s">
        <v>289</v>
      </c>
      <c r="C28" s="2"/>
      <c r="D28" s="22" t="str">
        <f>IFERROR((s_TR/(s_RadSpec!I28*s_EF_w*s_ED_com*s_IRS_w*(1/1000)))*1,".")</f>
        <v>.</v>
      </c>
      <c r="E28" s="22" t="str">
        <f>IFERROR(IF(A28="H-3",(s_TR/(s_RadSpec!G28*s_EF_w*s_ED_com*(s_ET_w_o+s_ET_w_i)*(1/24)*s_IRA_w*(1/17)*1000))*1,(s_TR/(s_RadSpec!G28*s_EF_w*s_ED_com*(s_ET_w_o+s_ET_w_i)*(1/24)*s_IRA_w*(1/s_PEF_wind)*1000))*1),".")</f>
        <v>.</v>
      </c>
      <c r="F28" s="22">
        <f>IFERROR((s_TR/(s_RadSpec!F28*s_EF_w*(1/365)*s_ED_com*s_RadSpec!Q28*(s_ET_w_o+s_ET_w_i)*(1/24)*s_RadSpec!V28))*1,".")</f>
        <v>12.600541394677991</v>
      </c>
      <c r="G28" s="22">
        <f t="shared" si="0"/>
        <v>12.600541394677991</v>
      </c>
      <c r="H28" s="43">
        <f t="shared" si="1"/>
        <v>137.5</v>
      </c>
      <c r="I28" s="43">
        <f t="shared" si="2"/>
        <v>0.11080293013295324</v>
      </c>
      <c r="J28" s="43">
        <f>s_C*s_EF_w*(1/365)*s_ED_com*(s_ET_w_o+s_ET_w_i)*(1/24)*s_RadSpec!V28*s_RadSpec!Q28*1</f>
        <v>0.38443493150684932</v>
      </c>
      <c r="K28" s="4"/>
      <c r="L28" s="4"/>
      <c r="M28" s="4"/>
      <c r="N28" s="4"/>
      <c r="O28" s="22">
        <f>IFERROR((s_TR/(s_RadSpec!F28*s_EF_w*(1/365)*s_ED_com*s_RadSpec!Q28*(s_ET_w_o+s_ET_w_i)*(1/24)*s_RadSpec!V28))*1,".")</f>
        <v>12.600541394677991</v>
      </c>
      <c r="P28" s="22">
        <f>IFERROR((s_TR/(s_RadSpec!M28*s_EF_w*(1/365)*s_ED_com*s_RadSpec!R28*(s_ET_w_o+s_ET_w_i)*(1/24)*s_RadSpec!W28))*1,".")</f>
        <v>152.1945035706986</v>
      </c>
      <c r="Q28" s="22">
        <f>IFERROR((s_TR/(s_RadSpec!N28*s_EF_w*(1/365)*s_ED_com*s_RadSpec!S28*(s_ET_w_o+s_ET_w_i)*(1/24)*s_RadSpec!X28))*1,".")</f>
        <v>36.785074421013142</v>
      </c>
      <c r="R28" s="22">
        <f>IFERROR((s_TR/(s_RadSpec!O28*s_EF_w*(1/365)*s_ED_com*s_RadSpec!T28*(s_ET_w_o+s_ET_w_i)*(1/24)*s_RadSpec!Y28))*1,".")</f>
        <v>20.014254088400751</v>
      </c>
      <c r="S28" s="22">
        <f>IFERROR((s_TR/(s_RadSpec!K28*s_EF_w*(1/365)*s_ED_com*s_RadSpec!P28*(s_ET_w_o+s_ET_w_i)*(1/24)*s_RadSpec!U28))*1,".")</f>
        <v>274.62000560846838</v>
      </c>
      <c r="T28" s="43">
        <f>s_C*s_EF_w*(1/365)*s_ED_com*(s_ET_w_o+s_ET_w_i)*(1/24)*s_RadSpec!V28*s_RadSpec!Q28*1</f>
        <v>0.38443493150684932</v>
      </c>
      <c r="U28" s="43">
        <f>s_C*s_EF_w*(1/365)*s_ED_com*(s_ET_w_o+s_ET_w_i)*(1/24)*s_RadSpec!W28*s_RadSpec!R28*1</f>
        <v>0.17240314752591826</v>
      </c>
      <c r="V28" s="43">
        <f>s_C*s_EF_w*(1/365)*s_ED_com*(s_ET_w_o+s_ET_w_i)*(1/24)*s_RadSpec!X28*s_RadSpec!S28*1</f>
        <v>0.24831621004566223</v>
      </c>
      <c r="W28" s="43">
        <f>s_C*s_EF_w*(1/365)*s_ED_com*(s_ET_w_o+s_ET_w_i)*(1/24)*s_RadSpec!Y28*s_RadSpec!T28*1</f>
        <v>0.286804576282568</v>
      </c>
      <c r="X28" s="43">
        <f>s_C*s_EF_w*(1/365)*s_ED_com*(s_ET_w_o+s_ET_w_i)*(1/24)*s_RadSpec!U28*s_RadSpec!P28*1</f>
        <v>9.8069738480697347E-2</v>
      </c>
      <c r="Y28" s="11"/>
      <c r="Z28" s="11"/>
      <c r="AA28" s="11"/>
      <c r="AB28" s="11"/>
      <c r="AC28" s="11"/>
      <c r="AD28" s="22" t="str">
        <f>IFERROR(s_TR/(s_RadSpec!G28*s_EF_w*s_ED_com*(s_ET_w_o+s_ET_w_i)*(1/24)*s_IRA_w),".")</f>
        <v>.</v>
      </c>
      <c r="AE28" s="22">
        <f>IFERROR(s_TR/(s_RadSpec!J28*s_EF_w*(1/365)*s_ED_com*(s_ET_w_o+s_ET_w_i)*(1/24)*s_GSF_a),".")</f>
        <v>3326.9928597218632</v>
      </c>
      <c r="AF28" s="22">
        <f t="shared" si="6"/>
        <v>3326.9928597218632</v>
      </c>
      <c r="AG28" s="43">
        <f t="shared" si="4"/>
        <v>34375</v>
      </c>
      <c r="AH28" s="43">
        <f t="shared" si="5"/>
        <v>1.5696347031963471</v>
      </c>
      <c r="AI28" s="10"/>
      <c r="AJ28" s="10"/>
      <c r="AK28" s="10"/>
    </row>
    <row r="29" spans="1:37" x14ac:dyDescent="0.25">
      <c r="A29" s="23" t="s">
        <v>39</v>
      </c>
      <c r="B29" s="24" t="s">
        <v>289</v>
      </c>
      <c r="C29" s="109"/>
      <c r="D29" s="22" t="str">
        <f>IFERROR((s_TR/(s_RadSpec!I29*s_EF_w*s_ED_com*s_IRS_w*(1/1000)))*1,".")</f>
        <v>.</v>
      </c>
      <c r="E29" s="22" t="str">
        <f>IFERROR(IF(A29="H-3",(s_TR/(s_RadSpec!G29*s_EF_w*s_ED_com*(s_ET_w_o+s_ET_w_i)*(1/24)*s_IRA_w*(1/17)*1000))*1,(s_TR/(s_RadSpec!G29*s_EF_w*s_ED_com*(s_ET_w_o+s_ET_w_i)*(1/24)*s_IRA_w*(1/s_PEF_wind)*1000))*1),".")</f>
        <v>.</v>
      </c>
      <c r="F29" s="22">
        <f>IFERROR((s_TR/(s_RadSpec!F29*s_EF_w*(1/365)*s_ED_com*s_RadSpec!Q29*(s_ET_w_o+s_ET_w_i)*(1/24)*s_RadSpec!V29))*1,".")</f>
        <v>10.532710823424532</v>
      </c>
      <c r="G29" s="22">
        <f t="shared" si="0"/>
        <v>10.532710823424532</v>
      </c>
      <c r="H29" s="43">
        <f t="shared" si="1"/>
        <v>137.5</v>
      </c>
      <c r="I29" s="43">
        <f t="shared" si="2"/>
        <v>0.11080293013295324</v>
      </c>
      <c r="J29" s="43">
        <f>s_C*s_EF_w*(1/365)*s_ED_com*(s_ET_w_o+s_ET_w_i)*(1/24)*s_RadSpec!V29*s_RadSpec!Q29*1</f>
        <v>0.35353003161222324</v>
      </c>
      <c r="K29" s="4"/>
      <c r="L29" s="4"/>
      <c r="M29" s="4"/>
      <c r="N29" s="4"/>
      <c r="O29" s="22">
        <f>IFERROR((s_TR/(s_RadSpec!F29*s_EF_w*(1/365)*s_ED_com*s_RadSpec!Q29*(s_ET_w_o+s_ET_w_i)*(1/24)*s_RadSpec!V29))*1,".")</f>
        <v>10.532710823424532</v>
      </c>
      <c r="P29" s="22">
        <f>IFERROR((s_TR/(s_RadSpec!M29*s_EF_w*(1/365)*s_ED_com*s_RadSpec!R29*(s_ET_w_o+s_ET_w_i)*(1/24)*s_RadSpec!W29))*1,".")</f>
        <v>113.58228987030263</v>
      </c>
      <c r="Q29" s="22">
        <f>IFERROR((s_TR/(s_RadSpec!N29*s_EF_w*(1/365)*s_ED_com*s_RadSpec!S29*(s_ET_w_o+s_ET_w_i)*(1/24)*s_RadSpec!X29))*1,".")</f>
        <v>28.246107220799573</v>
      </c>
      <c r="R29" s="22">
        <f>IFERROR((s_TR/(s_RadSpec!O29*s_EF_w*(1/365)*s_ED_com*s_RadSpec!T29*(s_ET_w_o+s_ET_w_i)*(1/24)*s_RadSpec!Y29))*1,".")</f>
        <v>15.011316032101041</v>
      </c>
      <c r="S29" s="22">
        <f>IFERROR((s_TR/(s_RadSpec!K29*s_EF_w*(1/365)*s_ED_com*s_RadSpec!P29*(s_ET_w_o+s_ET_w_i)*(1/24)*s_RadSpec!U29))*1,".")</f>
        <v>210.68997147841458</v>
      </c>
      <c r="T29" s="43">
        <f>s_C*s_EF_w*(1/365)*s_ED_com*(s_ET_w_o+s_ET_w_i)*(1/24)*s_RadSpec!V29*s_RadSpec!Q29*1</f>
        <v>0.35353003161222324</v>
      </c>
      <c r="U29" s="43">
        <f>s_C*s_EF_w*(1/365)*s_ED_com*(s_ET_w_o+s_ET_w_i)*(1/24)*s_RadSpec!W29*s_RadSpec!R29*1</f>
        <v>0.17716668927166698</v>
      </c>
      <c r="V29" s="43">
        <f>s_C*s_EF_w*(1/365)*s_ED_com*(s_ET_w_o+s_ET_w_i)*(1/24)*s_RadSpec!X29*s_RadSpec!S29*1</f>
        <v>0.24869139102349933</v>
      </c>
      <c r="W29" s="43">
        <f>s_C*s_EF_w*(1/365)*s_ED_com*(s_ET_w_o+s_ET_w_i)*(1/24)*s_RadSpec!Y29*s_RadSpec!T29*1</f>
        <v>0.2931788957119616</v>
      </c>
      <c r="X29" s="43">
        <f>s_C*s_EF_w*(1/365)*s_ED_com*(s_ET_w_o+s_ET_w_i)*(1/24)*s_RadSpec!U29*s_RadSpec!P29*1</f>
        <v>9.8662752772341808E-2</v>
      </c>
      <c r="Y29" s="11"/>
      <c r="Z29" s="11"/>
      <c r="AA29" s="11"/>
      <c r="AB29" s="11"/>
      <c r="AC29" s="11"/>
      <c r="AD29" s="22" t="str">
        <f>IFERROR(s_TR/(s_RadSpec!G29*s_EF_w*s_ED_com*(s_ET_w_o+s_ET_w_i)*(1/24)*s_IRA_w),".")</f>
        <v>.</v>
      </c>
      <c r="AE29" s="22">
        <f>IFERROR(s_TR/(s_RadSpec!J29*s_EF_w*(1/365)*s_ED_com*(s_ET_w_o+s_ET_w_i)*(1/24)*s_GSF_a),".")</f>
        <v>2573.7114575206856</v>
      </c>
      <c r="AF29" s="22">
        <f t="shared" si="6"/>
        <v>2573.7114575206856</v>
      </c>
      <c r="AG29" s="43">
        <f t="shared" si="4"/>
        <v>34375</v>
      </c>
      <c r="AH29" s="43">
        <f t="shared" si="5"/>
        <v>1.5696347031963471</v>
      </c>
      <c r="AI29" s="10"/>
      <c r="AJ29" s="10"/>
      <c r="AK29" s="10"/>
    </row>
    <row r="30" spans="1:37" x14ac:dyDescent="0.25">
      <c r="A30" s="23" t="s">
        <v>40</v>
      </c>
      <c r="B30" s="24" t="s">
        <v>289</v>
      </c>
      <c r="C30" s="2"/>
      <c r="D30" s="22">
        <f>IFERROR((s_TR/(s_RadSpec!I30*s_EF_w*s_ED_com*s_IRS_w*(1/1000)))*1,".")</f>
        <v>6970.2197361771841</v>
      </c>
      <c r="E30" s="22">
        <f>IFERROR(IF(A30="H-3",(s_TR/(s_RadSpec!G30*s_EF_w*s_ED_com*(s_ET_w_o+s_ET_w_i)*(1/24)*s_IRA_w*(1/17)*1000))*1,(s_TR/(s_RadSpec!G30*s_EF_w*s_ED_com*(s_ET_w_o+s_ET_w_i)*(1/24)*s_IRA_w*(1/s_PEF_wind)*1000))*1),".")</f>
        <v>15942.469685486163</v>
      </c>
      <c r="F30" s="22">
        <f>IFERROR((s_TR/(s_RadSpec!F30*s_EF_w*(1/365)*s_ED_com*s_RadSpec!Q30*(s_ET_w_o+s_ET_w_i)*(1/24)*s_RadSpec!V30))*1,".")</f>
        <v>1866539.5080541375</v>
      </c>
      <c r="G30" s="22">
        <f t="shared" si="0"/>
        <v>4837.2556249906565</v>
      </c>
      <c r="H30" s="43">
        <f t="shared" si="1"/>
        <v>137.5</v>
      </c>
      <c r="I30" s="43">
        <f t="shared" si="2"/>
        <v>0.11080293013295324</v>
      </c>
      <c r="J30" s="43">
        <f>s_C*s_EF_w*(1/365)*s_ED_com*(s_ET_w_o+s_ET_w_i)*(1/24)*s_RadSpec!V30*s_RadSpec!Q30*1</f>
        <v>3.7671232876712334E-2</v>
      </c>
      <c r="K30" s="4"/>
      <c r="L30" s="4"/>
      <c r="M30" s="4"/>
      <c r="N30" s="4"/>
      <c r="O30" s="22">
        <f>IFERROR((s_TR/(s_RadSpec!F30*s_EF_w*(1/365)*s_ED_com*s_RadSpec!Q30*(s_ET_w_o+s_ET_w_i)*(1/24)*s_RadSpec!V30))*1,".")</f>
        <v>1866539.5080541375</v>
      </c>
      <c r="P30" s="22">
        <f>IFERROR((s_TR/(s_RadSpec!M30*s_EF_w*(1/365)*s_ED_com*s_RadSpec!R30*(s_ET_w_o+s_ET_w_i)*(1/24)*s_RadSpec!W30))*1,".")</f>
        <v>31355679.431622181</v>
      </c>
      <c r="Q30" s="22">
        <f>IFERROR((s_TR/(s_RadSpec!N30*s_EF_w*(1/365)*s_ED_com*s_RadSpec!S30*(s_ET_w_o+s_ET_w_i)*(1/24)*s_RadSpec!X30))*1,".")</f>
        <v>4628217.4921841472</v>
      </c>
      <c r="R30" s="22">
        <f>IFERROR((s_TR/(s_RadSpec!O30*s_EF_w*(1/365)*s_ED_com*s_RadSpec!T30*(s_ET_w_o+s_ET_w_i)*(1/24)*s_RadSpec!Y30))*1,".")</f>
        <v>2536091.1036041267</v>
      </c>
      <c r="S30" s="22">
        <f>IFERROR((s_TR/(s_RadSpec!K30*s_EF_w*(1/365)*s_ED_com*s_RadSpec!P30*(s_ET_w_o+s_ET_w_i)*(1/24)*s_RadSpec!U30))*1,".")</f>
        <v>445773553.09998822</v>
      </c>
      <c r="T30" s="43">
        <f>s_C*s_EF_w*(1/365)*s_ED_com*(s_ET_w_o+s_ET_w_i)*(1/24)*s_RadSpec!V30*s_RadSpec!Q30*1</f>
        <v>3.7671232876712334E-2</v>
      </c>
      <c r="U30" s="43">
        <f>s_C*s_EF_w*(1/365)*s_ED_com*(s_ET_w_o+s_ET_w_i)*(1/24)*s_RadSpec!W30*s_RadSpec!R30*1</f>
        <v>7.6896245560629153E-3</v>
      </c>
      <c r="V30" s="43">
        <f>s_C*s_EF_w*(1/365)*s_ED_com*(s_ET_w_o+s_ET_w_i)*(1/24)*s_RadSpec!X30*s_RadSpec!S30*1</f>
        <v>2.1338371909935452E-2</v>
      </c>
      <c r="W30" s="43">
        <f>s_C*s_EF_w*(1/365)*s_ED_com*(s_ET_w_o+s_ET_w_i)*(1/24)*s_RadSpec!Y30*s_RadSpec!T30*1</f>
        <v>2.8667126827368931E-2</v>
      </c>
      <c r="X30" s="43">
        <f>s_C*s_EF_w*(1/365)*s_ED_com*(s_ET_w_o+s_ET_w_i)*(1/24)*s_RadSpec!U30*s_RadSpec!P30*1</f>
        <v>3.1392694063926945E-4</v>
      </c>
      <c r="Y30" s="11"/>
      <c r="Z30" s="11"/>
      <c r="AA30" s="11"/>
      <c r="AB30" s="11"/>
      <c r="AC30" s="11"/>
      <c r="AD30" s="22">
        <f>IFERROR(s_TR/(s_RadSpec!G30*s_EF_w*s_ED_com*(s_ET_w_o+s_ET_w_i)*(1/24)*s_IRA_w),".")</f>
        <v>5.1388286682404326E-2</v>
      </c>
      <c r="AE30" s="22">
        <f>IFERROR(s_TR/(s_RadSpec!J30*s_EF_w*(1/365)*s_ED_com*(s_ET_w_o+s_ET_w_i)*(1/24)*s_GSF_a),".")</f>
        <v>33974273.287321642</v>
      </c>
      <c r="AF30" s="22">
        <f t="shared" si="6"/>
        <v>5.1388286604676217E-2</v>
      </c>
      <c r="AG30" s="43">
        <f t="shared" si="4"/>
        <v>34375</v>
      </c>
      <c r="AH30" s="43">
        <f t="shared" si="5"/>
        <v>1.5696347031963471</v>
      </c>
      <c r="AI30" s="10"/>
      <c r="AJ30" s="10"/>
      <c r="AK30" s="10"/>
    </row>
    <row r="31" spans="1:37" x14ac:dyDescent="0.25">
      <c r="A31" s="26" t="s">
        <v>13</v>
      </c>
      <c r="B31" s="26" t="s">
        <v>289</v>
      </c>
      <c r="C31" s="110"/>
      <c r="D31" s="27">
        <f>1/SUM(1/D32,1/D33,1/D34,1/D35,1/D36,1/D37,1/D38,1/D41,1/D44)</f>
        <v>655.5647744244834</v>
      </c>
      <c r="E31" s="27">
        <f>1/SUM(1/E32,1/E33,1/E34,1/E35,1/E36,1/E37,1/E38,1/E41,1/E44)</f>
        <v>1392.0108344758319</v>
      </c>
      <c r="F31" s="27">
        <f>1/SUM(1/F32,1/F33,1/F34,1/F35,1/F36,1/F37,1/F38,1/F39,1/F40,1/F41,1/F42,1/F43)</f>
        <v>165.51933405504511</v>
      </c>
      <c r="G31" s="28">
        <f>1/SUM(1/G32,1/G33,1/G34,1/G35,1/G36,1/G37,1/G38,1/G39,1/G40,1/G41,1/G42,1/G43,1/G44)</f>
        <v>120.69455702743136</v>
      </c>
      <c r="H31" s="45"/>
      <c r="I31" s="45"/>
      <c r="J31" s="45"/>
      <c r="K31" s="46">
        <f>IFERROR(IF(SUM(H32:H44)&gt;0.01,1-EXP(-SUM(H32:H44)),SUM(H32:H44)),".")</f>
        <v>7.6270113878364981E-8</v>
      </c>
      <c r="L31" s="46">
        <f>IFERROR(IF(SUM(I32:I44)&gt;0.01,1-EXP(-SUM(I32:I44)),SUM(I32:I44)),".")</f>
        <v>3.5919260656349515E-8</v>
      </c>
      <c r="M31" s="46">
        <f>IFERROR(IF(SUM(J32:J44)&gt;0.01,1-EXP(-SUM(J32:J44)),SUM(J32:J44)),".")</f>
        <v>3.0207951406674948E-7</v>
      </c>
      <c r="N31" s="46">
        <f>IFERROR(IF(SUM(H32:J44)&gt;0.01,1-EXP(-SUM(H32:J44)),SUM(H32:J44)),".")</f>
        <v>4.1426888860146402E-7</v>
      </c>
      <c r="O31" s="27">
        <f t="shared" ref="O31:S31" si="7">1/SUM(1/O32,1/O33,1/O34,1/O35,1/O36,1/O37,1/O38,1/O39,1/O40,1/O41,1/O42,1/O43)</f>
        <v>165.51933405504511</v>
      </c>
      <c r="P31" s="27">
        <f t="shared" si="7"/>
        <v>1430.140730611771</v>
      </c>
      <c r="Q31" s="27">
        <f t="shared" si="7"/>
        <v>374.0225715751842</v>
      </c>
      <c r="R31" s="27">
        <f t="shared" si="7"/>
        <v>222.35736455997207</v>
      </c>
      <c r="S31" s="27">
        <f t="shared" si="7"/>
        <v>3115.8061323430579</v>
      </c>
      <c r="T31" s="45"/>
      <c r="U31" s="37"/>
      <c r="V31" s="37"/>
      <c r="W31" s="37"/>
      <c r="X31" s="37"/>
      <c r="Y31" s="46">
        <f>IFERROR(IF(SUM(T32:T44)&gt;0.01,1-EXP(-SUM(T32:T44)),SUM(T32:T44)),".")</f>
        <v>3.0207951406674948E-7</v>
      </c>
      <c r="Z31" s="46">
        <f t="shared" ref="Z31:AC31" si="8">IFERROR(IF(SUM(U32:U44)&gt;0.01,1-EXP(-SUM(U32:U44)),SUM(U32:U44)),".")</f>
        <v>3.4961594289123919E-8</v>
      </c>
      <c r="AA31" s="46">
        <f t="shared" si="8"/>
        <v>1.3368177163593792E-7</v>
      </c>
      <c r="AB31" s="46">
        <f t="shared" si="8"/>
        <v>2.2486325154530457E-7</v>
      </c>
      <c r="AC31" s="46">
        <f t="shared" si="8"/>
        <v>1.6047211500415295E-8</v>
      </c>
      <c r="AD31" s="27">
        <f>1/SUM(1/AD32,1/AD33,1/AD34,1/AD35,1/AD36,1/AD37,1/AD38,1/AD41,1/AD44)</f>
        <v>4.4869492141596948E-3</v>
      </c>
      <c r="AE31" s="27">
        <f t="shared" ref="AE31:AF31" si="9">1/SUM(1/AE32,1/AE33,1/AE34,1/AE35,1/AE36,1/AE37,1/AE38,1/AE39,1/AE40,1/AE41,1/AE42,1/AE43,1/AE44)</f>
        <v>14415.209756149465</v>
      </c>
      <c r="AF31" s="28">
        <f t="shared" si="9"/>
        <v>4.4869478175302091E-3</v>
      </c>
      <c r="AG31" s="45"/>
      <c r="AH31" s="45"/>
      <c r="AI31" s="46">
        <f>IFERROR(IF(SUM(AG32:AG44)&gt;0.01,1-EXP(-SUM(AG32:AG44)),SUM(AG32:AG44)),".")</f>
        <v>1.1081570979619815E-2</v>
      </c>
      <c r="AJ31" s="46">
        <f>IFERROR(IF(SUM(AH32:AH44)&gt;0.01,1-EXP(-SUM(AH32:AH44)),SUM(AH32:AH44)),".")</f>
        <v>3.4685586159209527E-9</v>
      </c>
      <c r="AK31" s="46">
        <f>IFERROR(IF(SUM(AG32:AH44)&gt;0.01,1-EXP(-SUM(AG32:AH44)),SUM(AG32:AH44)),".")</f>
        <v>1.1081574409741335E-2</v>
      </c>
    </row>
    <row r="32" spans="1:37" x14ac:dyDescent="0.25">
      <c r="A32" s="29" t="s">
        <v>290</v>
      </c>
      <c r="B32" s="24">
        <v>1</v>
      </c>
      <c r="C32" s="2"/>
      <c r="D32" s="30">
        <f>IFERROR(D3/$B32,0)</f>
        <v>3995.1259463454585</v>
      </c>
      <c r="E32" s="30">
        <f>IFERROR(E3/$B32,0)</f>
        <v>11956.85226411463</v>
      </c>
      <c r="F32" s="30">
        <f>IFERROR(F3/$B32,0)</f>
        <v>4008334.5258403104</v>
      </c>
      <c r="G32" s="30">
        <f>IF(AND(D32&lt;&gt;0,E32&lt;&gt;0,F32&lt;&gt;0),1/((1/D32)+(1/E32)+(1/F32)),IF(AND(D32&lt;&gt;0,E32&lt;&gt;0,F32=0), 1/((1/D32)+(1/E32)),IF(AND(D32&lt;&gt;0,E32=0,F32&lt;&gt;0),1/((1/D32)+(1/F32)),IF(AND(D32=0,E32&lt;&gt;0,F32&lt;&gt;0),1/((1/E32)+(1/F32)),IF(AND(D32&lt;&gt;0,E32=0,F32=0),1/((1/D32)),IF(AND(D32=0,E32&lt;&gt;0,F32=0),1/((1/E32)),IF(AND(D32=0,E32=0,F32&lt;&gt;0),1/((1/F32)),IF(AND(D32=0,E32=0,F32=0),0))))))))</f>
        <v>2992.3229097518374</v>
      </c>
      <c r="H32" s="38">
        <f>IFERROR(s_RadSpec!$I$3*H3,".")*$B$32</f>
        <v>1.251525E-8</v>
      </c>
      <c r="I32" s="38">
        <f>IFERROR(s_RadSpec!$G$3*I3,".")*$B$32</f>
        <v>4.1817025832176553E-9</v>
      </c>
      <c r="J32" s="38">
        <f>IFERROR(s_RadSpec!$F$3*J3,".")*$B$32</f>
        <v>1.247400876290832E-11</v>
      </c>
      <c r="K32" s="47">
        <f t="shared" ref="K32:M44" si="10">IFERROR(IF(H32&gt;0.01,1-EXP(-H32),H32),".")</f>
        <v>1.251525E-8</v>
      </c>
      <c r="L32" s="47">
        <f t="shared" si="10"/>
        <v>4.1817025832176553E-9</v>
      </c>
      <c r="M32" s="47">
        <f t="shared" si="10"/>
        <v>1.247400876290832E-11</v>
      </c>
      <c r="N32" s="47">
        <f>IFERROR(IF(SUM(H32:J32)&gt;0.01,1-EXP(-SUM(H32:J32)),SUM(H32:J32)),".")</f>
        <v>1.6709426591980565E-8</v>
      </c>
      <c r="O32" s="30">
        <f t="shared" ref="O32:AE32" si="11">IFERROR(O3/$B32,0)</f>
        <v>4008334.5258403104</v>
      </c>
      <c r="P32" s="30">
        <f t="shared" si="11"/>
        <v>11307474.982238051</v>
      </c>
      <c r="Q32" s="30">
        <f t="shared" si="11"/>
        <v>4573649.5043918435</v>
      </c>
      <c r="R32" s="30">
        <f t="shared" si="11"/>
        <v>4392333.1431488255</v>
      </c>
      <c r="S32" s="30">
        <f t="shared" si="11"/>
        <v>12907592.694386944</v>
      </c>
      <c r="T32" s="38">
        <f>IFERROR(s_RadSpec!$F$3*T3,".")*$B$32</f>
        <v>1.247400876290832E-11</v>
      </c>
      <c r="U32" s="38">
        <f>IFERROR(s_RadSpec!$M$3*U3,".")*$B$32</f>
        <v>4.4218536922293222E-12</v>
      </c>
      <c r="V32" s="38">
        <f>IFERROR(s_RadSpec!$N$3*V3,".")*$B$32</f>
        <v>1.0932188824698425E-11</v>
      </c>
      <c r="W32" s="38">
        <f>IFERROR(s_RadSpec!$O$3*W3,".")*$B$32</f>
        <v>1.138347169271305E-11</v>
      </c>
      <c r="X32" s="38">
        <f>IFERROR(s_RadSpec!$K$3*X3,".")*$B$32</f>
        <v>3.8736890126493716E-12</v>
      </c>
      <c r="Y32" s="47">
        <f>IFERROR(IF(T32&gt;0.01,1-EXP(-T32),T32),".")</f>
        <v>1.247400876290832E-11</v>
      </c>
      <c r="Z32" s="47">
        <f t="shared" ref="Z32:AC44" si="12">IFERROR(IF(U32&gt;0.01,1-EXP(-U32),U32),".")</f>
        <v>4.4218536922293222E-12</v>
      </c>
      <c r="AA32" s="47">
        <f t="shared" si="12"/>
        <v>1.0932188824698425E-11</v>
      </c>
      <c r="AB32" s="47">
        <f t="shared" si="12"/>
        <v>1.138347169271305E-11</v>
      </c>
      <c r="AC32" s="47">
        <f t="shared" si="12"/>
        <v>3.8736890126493716E-12</v>
      </c>
      <c r="AD32" s="30">
        <f t="shared" si="11"/>
        <v>3.8541215011803263E-2</v>
      </c>
      <c r="AE32" s="30">
        <f t="shared" si="11"/>
        <v>548920.35110099148</v>
      </c>
      <c r="AF32" s="30">
        <f>IFERROR(IF(AND(AD32&lt;&gt;0,AE32&lt;&gt;0),1/((1/AD32)+(1/AE32)),IF(AND(AD32&lt;&gt;0,AE32=0),1/((1/AD32)),IF(AND(AD32=0,AE32&lt;&gt;0),1/((1/AE32)),IF(AND(AD32=0,AE32=0),0)))),0)</f>
        <v>3.854121230571822E-2</v>
      </c>
      <c r="AG32" s="38">
        <f>IFERROR(s_RadSpec!$G$3*AG3,".")*$B$32</f>
        <v>1.2973125000000001E-3</v>
      </c>
      <c r="AH32" s="38">
        <f>IFERROR(s_RadSpec!$J$3*AH3,".")*$B$32</f>
        <v>9.1087896267123289E-11</v>
      </c>
      <c r="AI32" s="47">
        <f>IFERROR(IF(AG32&gt;0.01,1-EXP(-AG32),AG32),".")</f>
        <v>1.2973125000000001E-3</v>
      </c>
      <c r="AJ32" s="47">
        <f>IFERROR(IF(AH32&gt;0.01,1-EXP(-AH32),AH32),".")</f>
        <v>9.1087896267123289E-11</v>
      </c>
      <c r="AK32" s="47">
        <f>IFERROR(IF(SUM(AG32:AH32)&gt;0.01,1-EXP(-SUM(AG32:AH32)),SUM(AG32:AH32)),".")</f>
        <v>1.2973125910878964E-3</v>
      </c>
    </row>
    <row r="33" spans="1:37" x14ac:dyDescent="0.25">
      <c r="A33" s="29" t="s">
        <v>291</v>
      </c>
      <c r="B33" s="24">
        <v>1</v>
      </c>
      <c r="C33" s="2"/>
      <c r="D33" s="30">
        <f t="shared" ref="D33:F34" si="13">IFERROR(D13/$B33,0)</f>
        <v>7738.5904157557707</v>
      </c>
      <c r="E33" s="30">
        <f t="shared" si="13"/>
        <v>15736.760399221832</v>
      </c>
      <c r="F33" s="30">
        <f t="shared" si="13"/>
        <v>52962.293819483144</v>
      </c>
      <c r="G33" s="30">
        <f>IF(AND(D33&lt;&gt;0,E33&lt;&gt;0,F33&lt;&gt;0),1/((1/D33)+(1/E33)+(1/F33)),IF(AND(D33&lt;&gt;0,E33&lt;&gt;0,F33=0), 1/((1/D33)+(1/E33)),IF(AND(D33&lt;&gt;0,E33=0,F33&lt;&gt;0),1/((1/D33)+(1/F33)),IF(AND(D33=0,E33&lt;&gt;0,F33&lt;&gt;0),1/((1/E33)+(1/F33)),IF(AND(D33&lt;&gt;0,E33=0,F33=0),1/((1/D33)),IF(AND(D33=0,E33&lt;&gt;0,F33=0),1/((1/E33)),IF(AND(D33=0,E33=0,F33&lt;&gt;0),1/((1/F33)),IF(AND(D33=0,E33=0,F33=0),0))))))))</f>
        <v>4724.7962601625859</v>
      </c>
      <c r="H33" s="38">
        <f>IFERROR(s_RadSpec!$I$13*H13,".")*$B$33</f>
        <v>6.4611250000000001E-9</v>
      </c>
      <c r="I33" s="38">
        <f>IFERROR(s_RadSpec!$G$13*I13,".")*$B$33</f>
        <v>3.177274021562434E-9</v>
      </c>
      <c r="J33" s="38">
        <f>IFERROR(s_RadSpec!$F$13*J13,".")*$B$33</f>
        <v>9.4406787157709165E-10</v>
      </c>
      <c r="K33" s="47">
        <f t="shared" si="10"/>
        <v>6.4611250000000001E-9</v>
      </c>
      <c r="L33" s="47">
        <f t="shared" si="10"/>
        <v>3.177274021562434E-9</v>
      </c>
      <c r="M33" s="47">
        <f t="shared" si="10"/>
        <v>9.4406787157709165E-10</v>
      </c>
      <c r="N33" s="47">
        <f t="shared" ref="N33:N44" si="14">IFERROR(IF(SUM(H33:J33)&gt;0.01,1-EXP(-SUM(H33:J33)),SUM(H33:J33)),".")</f>
        <v>1.0582466893139526E-8</v>
      </c>
      <c r="O33" s="30">
        <f t="shared" ref="O33:AE34" si="15">IFERROR(O13/$B33,0)</f>
        <v>52962.293819483144</v>
      </c>
      <c r="P33" s="30">
        <f t="shared" si="15"/>
        <v>344321.15228614345</v>
      </c>
      <c r="Q33" s="30">
        <f t="shared" si="15"/>
        <v>85965.587252885904</v>
      </c>
      <c r="R33" s="30">
        <f t="shared" si="15"/>
        <v>56901.724804873505</v>
      </c>
      <c r="S33" s="30">
        <f t="shared" si="15"/>
        <v>2734674.8104980662</v>
      </c>
      <c r="T33" s="38">
        <f>IFERROR(s_RadSpec!$F$13*T13,".")*$B$33</f>
        <v>9.4406787157709165E-10</v>
      </c>
      <c r="U33" s="38">
        <f>IFERROR(s_RadSpec!$M$13*U13,".")*$B$33</f>
        <v>1.4521326868251239E-10</v>
      </c>
      <c r="V33" s="38">
        <f>IFERROR(s_RadSpec!$N$13*V13,".")*$B$33</f>
        <v>5.8162808628194987E-10</v>
      </c>
      <c r="W33" s="38">
        <f>IFERROR(s_RadSpec!$O$13*W13,".")*$B$33</f>
        <v>8.787079859434704E-10</v>
      </c>
      <c r="X33" s="38">
        <f>IFERROR(s_RadSpec!$K$13*X13,".")*$B$33</f>
        <v>1.8283709568704994E-11</v>
      </c>
      <c r="Y33" s="47">
        <f t="shared" ref="Y33:Y44" si="16">IFERROR(IF(T33&gt;0.01,1-EXP(-T33),T33),".")</f>
        <v>9.4406787157709165E-10</v>
      </c>
      <c r="Z33" s="47">
        <f t="shared" si="12"/>
        <v>1.4521326868251239E-10</v>
      </c>
      <c r="AA33" s="47">
        <f t="shared" si="12"/>
        <v>5.8162808628194987E-10</v>
      </c>
      <c r="AB33" s="47">
        <f t="shared" si="12"/>
        <v>8.787079859434704E-10</v>
      </c>
      <c r="AC33" s="47">
        <f t="shared" si="12"/>
        <v>1.8283709568704994E-11</v>
      </c>
      <c r="AD33" s="30">
        <f t="shared" si="15"/>
        <v>5.0725212015534607E-2</v>
      </c>
      <c r="AE33" s="30">
        <f t="shared" si="15"/>
        <v>415241.11795615341</v>
      </c>
      <c r="AF33" s="30">
        <f t="shared" ref="AF33:AF44" si="17">IFERROR(IF(AND(AD33&lt;&gt;0,AE33&lt;&gt;0),1/((1/AD33)+(1/AE33)),IF(AND(AD33&lt;&gt;0,AE33=0),1/((1/AD33)),IF(AND(AD33=0,AE33&lt;&gt;0),1/((1/AE33)),IF(AND(AD33=0,AE33=0),0)))),0)</f>
        <v>5.0725205819022005E-2</v>
      </c>
      <c r="AG33" s="38">
        <f>IFERROR(s_RadSpec!$G$13*AG13,".")*$B$33</f>
        <v>9.8570312500000003E-4</v>
      </c>
      <c r="AH33" s="38">
        <f>IFERROR(s_RadSpec!$J$13*AH13,".")*$B$33</f>
        <v>1.204119675E-10</v>
      </c>
      <c r="AI33" s="47">
        <f t="shared" ref="AI33:AJ44" si="18">IFERROR(IF(AG33&gt;0.01,1-EXP(-AG33),AG33),".")</f>
        <v>9.8570312500000003E-4</v>
      </c>
      <c r="AJ33" s="47">
        <f t="shared" si="18"/>
        <v>1.204119675E-10</v>
      </c>
      <c r="AK33" s="47">
        <f t="shared" ref="AK33:AK44" si="19">IFERROR(IF(SUM(AG33:AH33)&gt;0.01,1-EXP(-SUM(AG33:AH33)),SUM(AG33:AH33)),".")</f>
        <v>9.8570324541196754E-4</v>
      </c>
    </row>
    <row r="34" spans="1:37" x14ac:dyDescent="0.25">
      <c r="A34" s="29" t="s">
        <v>292</v>
      </c>
      <c r="B34" s="24">
        <v>1</v>
      </c>
      <c r="C34" s="2"/>
      <c r="D34" s="30">
        <f t="shared" si="13"/>
        <v>140802.43306604339</v>
      </c>
      <c r="E34" s="30">
        <f t="shared" si="13"/>
        <v>29530240.458588183</v>
      </c>
      <c r="F34" s="30">
        <f t="shared" si="13"/>
        <v>511.93253233970188</v>
      </c>
      <c r="G34" s="30">
        <f>IF(AND(D34&lt;&gt;0,E34&lt;&gt;0,F34&lt;&gt;0),1/((1/D34)+(1/E34)+(1/F34)),IF(AND(D34&lt;&gt;0,E34&lt;&gt;0,F34=0), 1/((1/D34)+(1/E34)),IF(AND(D34&lt;&gt;0,E34=0,F34&lt;&gt;0),1/((1/D34)+(1/F34)),IF(AND(D34=0,E34&lt;&gt;0,F34&lt;&gt;0),1/((1/E34)+(1/F34)),IF(AND(D34&lt;&gt;0,E34=0,F34=0),1/((1/D34)),IF(AND(D34=0,E34&lt;&gt;0,F34=0),1/((1/E34)),IF(AND(D34=0,E34=0,F34&lt;&gt;0),1/((1/F34)),IF(AND(D34=0,E34=0,F34=0),0))))))))</f>
        <v>510.06916932382467</v>
      </c>
      <c r="H34" s="38">
        <f>IFERROR(s_RadSpec!$I$14*H14,".")*$B$34</f>
        <v>3.5510750000000001E-10</v>
      </c>
      <c r="I34" s="38">
        <f>IFERROR(s_RadSpec!$G$14*I14,".")*$B$33</f>
        <v>1.6931795753616585E-12</v>
      </c>
      <c r="J34" s="38">
        <f>IFERROR(s_RadSpec!$F$14*J14,".")*$B$33</f>
        <v>9.7669120130895745E-8</v>
      </c>
      <c r="K34" s="47">
        <f t="shared" si="10"/>
        <v>3.5510750000000001E-10</v>
      </c>
      <c r="L34" s="47">
        <f t="shared" si="10"/>
        <v>1.6931795753616585E-12</v>
      </c>
      <c r="M34" s="47">
        <f t="shared" si="10"/>
        <v>9.7669120130895745E-8</v>
      </c>
      <c r="N34" s="47">
        <f t="shared" si="14"/>
        <v>9.8025920810471109E-8</v>
      </c>
      <c r="O34" s="30">
        <f t="shared" si="15"/>
        <v>511.93253233970188</v>
      </c>
      <c r="P34" s="30">
        <f t="shared" si="15"/>
        <v>3919.4180488247334</v>
      </c>
      <c r="Q34" s="30">
        <f t="shared" si="15"/>
        <v>1055.6260049413058</v>
      </c>
      <c r="R34" s="30">
        <f t="shared" si="15"/>
        <v>636.58769357939536</v>
      </c>
      <c r="S34" s="30">
        <f t="shared" si="15"/>
        <v>11085.671084088766</v>
      </c>
      <c r="T34" s="38">
        <f>IFERROR(s_RadSpec!$F$14*T14,".")*$B$33</f>
        <v>9.7669120130895745E-8</v>
      </c>
      <c r="U34" s="38">
        <f>IFERROR(s_RadSpec!$M$14*U14,".")*$B$33</f>
        <v>1.275699590529591E-8</v>
      </c>
      <c r="V34" s="38">
        <f>IFERROR(s_RadSpec!$N$14*V14,".")*$B$33</f>
        <v>4.7365259823037497E-8</v>
      </c>
      <c r="W34" s="38">
        <f>IFERROR(s_RadSpec!$O$14*W14,".")*$B$33</f>
        <v>7.8543774101036703E-8</v>
      </c>
      <c r="X34" s="38">
        <f>IFERROR(s_RadSpec!$K$14*X14,".")*$B$33</f>
        <v>4.5103268553371458E-9</v>
      </c>
      <c r="Y34" s="47">
        <f t="shared" si="16"/>
        <v>9.7669120130895745E-8</v>
      </c>
      <c r="Z34" s="47">
        <f t="shared" si="12"/>
        <v>1.275699590529591E-8</v>
      </c>
      <c r="AA34" s="47">
        <f t="shared" si="12"/>
        <v>4.7365259823037497E-8</v>
      </c>
      <c r="AB34" s="47">
        <f t="shared" si="12"/>
        <v>7.8543774101036703E-8</v>
      </c>
      <c r="AC34" s="47">
        <f t="shared" si="12"/>
        <v>4.5103268553371458E-9</v>
      </c>
      <c r="AD34" s="30">
        <f t="shared" si="15"/>
        <v>95.186535864501977</v>
      </c>
      <c r="AE34" s="30">
        <f t="shared" si="15"/>
        <v>37320.576538603658</v>
      </c>
      <c r="AF34" s="30">
        <f t="shared" si="17"/>
        <v>94.944379194013891</v>
      </c>
      <c r="AG34" s="38">
        <f>IFERROR(s_RadSpec!$G$14*AG14,".")*$B$33</f>
        <v>5.2528437500000004E-7</v>
      </c>
      <c r="AH34" s="38">
        <f>IFERROR(s_RadSpec!$J$14*AH14,".")*$B$33</f>
        <v>1.3397435044520548E-9</v>
      </c>
      <c r="AI34" s="47">
        <f t="shared" si="18"/>
        <v>5.2528437500000004E-7</v>
      </c>
      <c r="AJ34" s="47">
        <f t="shared" si="18"/>
        <v>1.3397435044520548E-9</v>
      </c>
      <c r="AK34" s="47">
        <f t="shared" si="19"/>
        <v>5.2662411850445206E-7</v>
      </c>
    </row>
    <row r="35" spans="1:37" x14ac:dyDescent="0.25">
      <c r="A35" s="29" t="s">
        <v>293</v>
      </c>
      <c r="B35" s="24">
        <v>1</v>
      </c>
      <c r="C35" s="2"/>
      <c r="D35" s="30">
        <f>IFERROR(D30/$B35,0)</f>
        <v>6970.2197361771841</v>
      </c>
      <c r="E35" s="30">
        <f>IFERROR(E30/$B35,0)</f>
        <v>15942.469685486163</v>
      </c>
      <c r="F35" s="30">
        <f>IFERROR(F30/$B35,0)</f>
        <v>1866539.5080541375</v>
      </c>
      <c r="G35" s="30">
        <f t="shared" ref="G35:G61" si="20">IF(AND(D35&lt;&gt;0,E35&lt;&gt;0,F35&lt;&gt;0),1/((1/D35)+(1/E35)+(1/F35)),IF(AND(D35&lt;&gt;0,E35&lt;&gt;0,F35=0), 1/((1/D35)+(1/E35)),IF(AND(D35&lt;&gt;0,E35=0,F35&lt;&gt;0),1/((1/D35)+(1/F35)),IF(AND(D35=0,E35&lt;&gt;0,F35&lt;&gt;0),1/((1/E35)+(1/F35)),IF(AND(D35&lt;&gt;0,E35=0,F35=0),1/((1/D35)),IF(AND(D35=0,E35&lt;&gt;0,F35=0),1/((1/E35)),IF(AND(D35=0,E35=0,F35&lt;&gt;0),1/((1/F35)),IF(AND(D35=0,E35=0,F35=0),0))))))))</f>
        <v>4837.2556249906565</v>
      </c>
      <c r="H35" s="38">
        <f>IFERROR(s_RadSpec!$I$30*H30,".")*$B$35</f>
        <v>7.1733749999999995E-9</v>
      </c>
      <c r="I35" s="38">
        <f>IFERROR(s_RadSpec!$G$30*I30,".")*$B$35</f>
        <v>3.1362769374132415E-9</v>
      </c>
      <c r="J35" s="38">
        <f>IFERROR(s_RadSpec!$F$30*J30,".")*$B$35</f>
        <v>2.6787539071232881E-11</v>
      </c>
      <c r="K35" s="47">
        <f t="shared" si="10"/>
        <v>7.1733749999999995E-9</v>
      </c>
      <c r="L35" s="47">
        <f t="shared" si="10"/>
        <v>3.1362769374132415E-9</v>
      </c>
      <c r="M35" s="47">
        <f t="shared" si="10"/>
        <v>2.6787539071232881E-11</v>
      </c>
      <c r="N35" s="47">
        <f t="shared" si="14"/>
        <v>1.0336439476484475E-8</v>
      </c>
      <c r="O35" s="30">
        <f t="shared" ref="O35:AE35" si="21">IFERROR(O30/$B35,0)</f>
        <v>1866539.5080541375</v>
      </c>
      <c r="P35" s="30">
        <f t="shared" si="21"/>
        <v>31355679.431622181</v>
      </c>
      <c r="Q35" s="30">
        <f t="shared" si="21"/>
        <v>4628217.4921841472</v>
      </c>
      <c r="R35" s="30">
        <f t="shared" si="21"/>
        <v>2536091.1036041267</v>
      </c>
      <c r="S35" s="30">
        <f t="shared" si="21"/>
        <v>445773553.09998822</v>
      </c>
      <c r="T35" s="38">
        <f>IFERROR(s_RadSpec!$F$30*T30,".")*$B$35</f>
        <v>2.6787539071232881E-11</v>
      </c>
      <c r="U35" s="38">
        <f>IFERROR(s_RadSpec!$M$30*U30,".")*$B$35</f>
        <v>1.5946074493150692E-12</v>
      </c>
      <c r="V35" s="38">
        <f>IFERROR(s_RadSpec!$N$30*V30,".")*$B$35</f>
        <v>1.0803295239352295E-11</v>
      </c>
      <c r="W35" s="38">
        <f>IFERROR(s_RadSpec!$O$30*W30,".")*$B$35</f>
        <v>1.9715380070117864E-11</v>
      </c>
      <c r="X35" s="38">
        <f>IFERROR(s_RadSpec!$K$30*X30,".")*$B$35</f>
        <v>1.1216457246575343E-13</v>
      </c>
      <c r="Y35" s="47">
        <f t="shared" si="16"/>
        <v>2.6787539071232881E-11</v>
      </c>
      <c r="Z35" s="47">
        <f t="shared" si="12"/>
        <v>1.5946074493150692E-12</v>
      </c>
      <c r="AA35" s="47">
        <f t="shared" si="12"/>
        <v>1.0803295239352295E-11</v>
      </c>
      <c r="AB35" s="47">
        <f t="shared" si="12"/>
        <v>1.9715380070117864E-11</v>
      </c>
      <c r="AC35" s="47">
        <f t="shared" si="12"/>
        <v>1.1216457246575343E-13</v>
      </c>
      <c r="AD35" s="30">
        <f t="shared" si="21"/>
        <v>5.1388286682404326E-2</v>
      </c>
      <c r="AE35" s="30">
        <f t="shared" si="21"/>
        <v>33974273.287321642</v>
      </c>
      <c r="AF35" s="30">
        <f t="shared" si="17"/>
        <v>5.1388286604676217E-2</v>
      </c>
      <c r="AG35" s="38">
        <f>IFERROR(s_RadSpec!$G$30*AG30,".")*$B$35</f>
        <v>9.72984375E-4</v>
      </c>
      <c r="AH35" s="38">
        <f>IFERROR(s_RadSpec!$J$30*AH30,".")*$B$35</f>
        <v>1.4717018249999999E-12</v>
      </c>
      <c r="AI35" s="47">
        <f t="shared" si="18"/>
        <v>9.72984375E-4</v>
      </c>
      <c r="AJ35" s="47">
        <f t="shared" si="18"/>
        <v>1.4717018249999999E-12</v>
      </c>
      <c r="AK35" s="47">
        <f t="shared" si="19"/>
        <v>9.7298437647170177E-4</v>
      </c>
    </row>
    <row r="36" spans="1:37" x14ac:dyDescent="0.25">
      <c r="A36" s="29" t="s">
        <v>294</v>
      </c>
      <c r="B36" s="24">
        <v>1</v>
      </c>
      <c r="C36" s="2"/>
      <c r="D36" s="30">
        <f>IFERROR(D26/$B36,0)</f>
        <v>1847.3702684229002</v>
      </c>
      <c r="E36" s="30">
        <f>IFERROR(E26/$B36,0)</f>
        <v>2583.8960401264658</v>
      </c>
      <c r="F36" s="30">
        <f>IFERROR(F26/$B36,0)</f>
        <v>6222.4927573188697</v>
      </c>
      <c r="G36" s="30">
        <f t="shared" si="20"/>
        <v>918.24854109217824</v>
      </c>
      <c r="H36" s="38">
        <f>IFERROR(s_RadSpec!$I$26*H26,".")*$B$37</f>
        <v>2.7065499999999998E-8</v>
      </c>
      <c r="I36" s="38">
        <f>IFERROR(s_RadSpec!$G$26*I26,".")*$B$37</f>
        <v>1.9350623718418953E-8</v>
      </c>
      <c r="J36" s="38">
        <f>IFERROR(s_RadSpec!$F$26*J26,".")*$B$37</f>
        <v>8.0353649172496384E-9</v>
      </c>
      <c r="K36" s="47">
        <f t="shared" si="10"/>
        <v>2.7065499999999998E-8</v>
      </c>
      <c r="L36" s="47">
        <f t="shared" si="10"/>
        <v>1.9350623718418953E-8</v>
      </c>
      <c r="M36" s="47">
        <f t="shared" si="10"/>
        <v>8.0353649172496384E-9</v>
      </c>
      <c r="N36" s="47">
        <f t="shared" si="14"/>
        <v>5.4451488635668593E-8</v>
      </c>
      <c r="O36" s="30">
        <f t="shared" ref="O36:AE36" si="22">IFERROR(O26/$B36,0)</f>
        <v>6222.4927573188697</v>
      </c>
      <c r="P36" s="30">
        <f t="shared" si="22"/>
        <v>37659.890904493994</v>
      </c>
      <c r="Q36" s="30">
        <f t="shared" si="22"/>
        <v>10791.063407108235</v>
      </c>
      <c r="R36" s="30">
        <f t="shared" si="22"/>
        <v>7097.7174226243296</v>
      </c>
      <c r="S36" s="30">
        <f t="shared" si="22"/>
        <v>209794.7011852313</v>
      </c>
      <c r="T36" s="38">
        <f>IFERROR(s_RadSpec!$F$26*T26,".")*$B$37</f>
        <v>8.0353649172496384E-9</v>
      </c>
      <c r="U36" s="38">
        <f>IFERROR(s_RadSpec!$M$26*U26,".")*$B$37</f>
        <v>1.3276724599866926E-9</v>
      </c>
      <c r="V36" s="38">
        <f>IFERROR(s_RadSpec!$N$26*V26,".")*$B$37</f>
        <v>4.6334636461374369E-9</v>
      </c>
      <c r="W36" s="38">
        <f>IFERROR(s_RadSpec!$O$26*W26,".")*$B$37</f>
        <v>7.044518261691077E-9</v>
      </c>
      <c r="X36" s="38">
        <f>IFERROR(s_RadSpec!$K$26*X26,".")*$B$37</f>
        <v>2.3832823096830338E-10</v>
      </c>
      <c r="Y36" s="47">
        <f t="shared" si="16"/>
        <v>8.0353649172496384E-9</v>
      </c>
      <c r="Z36" s="47">
        <f t="shared" si="12"/>
        <v>1.3276724599866926E-9</v>
      </c>
      <c r="AA36" s="47">
        <f t="shared" si="12"/>
        <v>4.6334636461374369E-9</v>
      </c>
      <c r="AB36" s="47">
        <f t="shared" si="12"/>
        <v>7.044518261691077E-9</v>
      </c>
      <c r="AC36" s="47">
        <f t="shared" si="12"/>
        <v>2.3832823096830338E-10</v>
      </c>
      <c r="AD36" s="30">
        <f t="shared" si="22"/>
        <v>8.3288218881439214E-3</v>
      </c>
      <c r="AE36" s="30">
        <f t="shared" si="22"/>
        <v>106153.07957089211</v>
      </c>
      <c r="AF36" s="30">
        <f t="shared" si="17"/>
        <v>8.3288212346605845E-3</v>
      </c>
      <c r="AG36" s="38">
        <f>IFERROR(s_RadSpec!$G$26*AG26,".")*$B$37</f>
        <v>6.0032499999999999E-3</v>
      </c>
      <c r="AH36" s="38">
        <f>IFERROR(s_RadSpec!$J$26*AH26,".")*$B$37</f>
        <v>4.7101789417808225E-10</v>
      </c>
      <c r="AI36" s="47">
        <f t="shared" si="18"/>
        <v>6.0032499999999999E-3</v>
      </c>
      <c r="AJ36" s="47">
        <f t="shared" si="18"/>
        <v>4.7101789417808225E-10</v>
      </c>
      <c r="AK36" s="47">
        <f t="shared" si="19"/>
        <v>6.0032504710178939E-3</v>
      </c>
    </row>
    <row r="37" spans="1:37" x14ac:dyDescent="0.25">
      <c r="A37" s="29" t="s">
        <v>295</v>
      </c>
      <c r="B37" s="24">
        <v>1</v>
      </c>
      <c r="C37" s="2"/>
      <c r="D37" s="30">
        <f>IFERROR(D22/$B37,0)</f>
        <v>4889.5571283631007</v>
      </c>
      <c r="E37" s="30">
        <f>IFERROR(E22/$B37,0)</f>
        <v>17250.33848570993</v>
      </c>
      <c r="F37" s="30">
        <f>IFERROR(F22/$B37,0)</f>
        <v>125149557165.41487</v>
      </c>
      <c r="G37" s="30">
        <f t="shared" si="20"/>
        <v>3809.7068934802578</v>
      </c>
      <c r="H37" s="38">
        <f>IFERROR(s_RadSpec!$I$22*H22,".")*$B$37</f>
        <v>1.0225875E-8</v>
      </c>
      <c r="I37" s="38">
        <f>IFERROR(s_RadSpec!$G$22*I22,".")*$B$37</f>
        <v>2.8984938493479236E-9</v>
      </c>
      <c r="J37" s="38">
        <f>IFERROR(s_RadSpec!$F$22*J22,".")*$B$37</f>
        <v>3.9952198899044541E-16</v>
      </c>
      <c r="K37" s="47">
        <f t="shared" si="10"/>
        <v>1.0225875E-8</v>
      </c>
      <c r="L37" s="47">
        <f t="shared" si="10"/>
        <v>2.8984938493479236E-9</v>
      </c>
      <c r="M37" s="47">
        <f t="shared" si="10"/>
        <v>3.9952198899044541E-16</v>
      </c>
      <c r="N37" s="47">
        <f t="shared" si="14"/>
        <v>1.3124369248869912E-8</v>
      </c>
      <c r="O37" s="30">
        <f t="shared" ref="O37:AE37" si="23">IFERROR(O22/$B37,0)</f>
        <v>125149557165.41487</v>
      </c>
      <c r="P37" s="30">
        <f t="shared" si="23"/>
        <v>157500375364.1293</v>
      </c>
      <c r="Q37" s="30">
        <f t="shared" si="23"/>
        <v>88611033432.008713</v>
      </c>
      <c r="R37" s="30">
        <f t="shared" si="23"/>
        <v>90961395817.846573</v>
      </c>
      <c r="S37" s="30">
        <f t="shared" si="23"/>
        <v>445068164946.88446</v>
      </c>
      <c r="T37" s="38">
        <f>IFERROR(s_RadSpec!$F$22*T22,".")*$B$37</f>
        <v>3.9952198899044541E-16</v>
      </c>
      <c r="U37" s="38">
        <f>IFERROR(s_RadSpec!$M$22*U22,".")*$B$37</f>
        <v>3.1745956087027521E-16</v>
      </c>
      <c r="V37" s="38">
        <f>IFERROR(s_RadSpec!$N$22*V22,".")*$B$37</f>
        <v>5.6426381753424655E-16</v>
      </c>
      <c r="W37" s="38">
        <f>IFERROR(s_RadSpec!$O$22*W22,".")*$B$37</f>
        <v>5.4968373726505682E-16</v>
      </c>
      <c r="X37" s="38">
        <f>IFERROR(s_RadSpec!$K$22*X22,".")*$B$37</f>
        <v>1.1234234200050488E-16</v>
      </c>
      <c r="Y37" s="47">
        <f t="shared" si="16"/>
        <v>3.9952198899044541E-16</v>
      </c>
      <c r="Z37" s="47">
        <f t="shared" si="12"/>
        <v>3.1745956087027521E-16</v>
      </c>
      <c r="AA37" s="47">
        <f t="shared" si="12"/>
        <v>5.6426381753424655E-16</v>
      </c>
      <c r="AB37" s="47">
        <f t="shared" si="12"/>
        <v>5.4968373726505682E-16</v>
      </c>
      <c r="AC37" s="47">
        <f t="shared" si="12"/>
        <v>1.1234234200050488E-16</v>
      </c>
      <c r="AD37" s="30">
        <f t="shared" si="23"/>
        <v>5.5604016000055607E-2</v>
      </c>
      <c r="AE37" s="30">
        <f t="shared" si="23"/>
        <v>1726667.1803619796</v>
      </c>
      <c r="AF37" s="30">
        <f t="shared" si="17"/>
        <v>5.5604014209434623E-2</v>
      </c>
      <c r="AG37" s="38">
        <f>IFERROR(s_RadSpec!$G$22*AG22,".")*$B$37</f>
        <v>8.9921562499999997E-4</v>
      </c>
      <c r="AH37" s="38">
        <f>IFERROR(s_RadSpec!$J$22*AH22,".")*$B$37</f>
        <v>2.8957520342465756E-11</v>
      </c>
      <c r="AI37" s="47">
        <f t="shared" si="18"/>
        <v>8.9921562499999997E-4</v>
      </c>
      <c r="AJ37" s="47">
        <f t="shared" si="18"/>
        <v>2.8957520342465756E-11</v>
      </c>
      <c r="AK37" s="47">
        <f t="shared" si="19"/>
        <v>8.9921565395752027E-4</v>
      </c>
    </row>
    <row r="38" spans="1:37" x14ac:dyDescent="0.25">
      <c r="A38" s="29" t="s">
        <v>296</v>
      </c>
      <c r="B38" s="24">
        <v>1</v>
      </c>
      <c r="C38" s="2"/>
      <c r="D38" s="30">
        <f>IFERROR(D2/$B38,0)</f>
        <v>4027.8728803318968</v>
      </c>
      <c r="E38" s="30">
        <f>IFERROR(E2/$B38,0)</f>
        <v>15797.913613208446</v>
      </c>
      <c r="F38" s="30">
        <f>IFERROR(F2/$B38,0)</f>
        <v>20512.286804300216</v>
      </c>
      <c r="G38" s="30">
        <f t="shared" si="20"/>
        <v>2775.3049321221679</v>
      </c>
      <c r="H38" s="38">
        <f>IFERROR(s_RadSpec!$I$2*H2,".")*$B$38</f>
        <v>1.2413499999999999E-8</v>
      </c>
      <c r="I38" s="38">
        <f>IFERROR(s_RadSpec!$G$2*I2,".")*$B$38</f>
        <v>3.1649748963176765E-9</v>
      </c>
      <c r="J38" s="38">
        <f>IFERROR(s_RadSpec!$F$2*J2,".")*$B$38</f>
        <v>2.4375634212328767E-9</v>
      </c>
      <c r="K38" s="47">
        <f t="shared" si="10"/>
        <v>1.2413499999999999E-8</v>
      </c>
      <c r="L38" s="47">
        <f t="shared" si="10"/>
        <v>3.1649748963176765E-9</v>
      </c>
      <c r="M38" s="47">
        <f t="shared" si="10"/>
        <v>2.4375634212328767E-9</v>
      </c>
      <c r="N38" s="47">
        <f t="shared" si="14"/>
        <v>1.8016038317550554E-8</v>
      </c>
      <c r="O38" s="30">
        <f t="shared" ref="O38:AE38" si="24">IFERROR(O2/$B38,0)</f>
        <v>20512.286804300216</v>
      </c>
      <c r="P38" s="30">
        <f t="shared" si="24"/>
        <v>148063.41488526075</v>
      </c>
      <c r="Q38" s="30">
        <f t="shared" si="24"/>
        <v>38842.447303557659</v>
      </c>
      <c r="R38" s="30">
        <f t="shared" si="24"/>
        <v>24027.280902312828</v>
      </c>
      <c r="S38" s="30">
        <f t="shared" si="24"/>
        <v>1124806.135978875</v>
      </c>
      <c r="T38" s="38">
        <f>IFERROR(s_RadSpec!$F$2*T2,".")*$B$38</f>
        <v>2.4375634212328767E-9</v>
      </c>
      <c r="U38" s="38">
        <f>IFERROR(s_RadSpec!$M$2*U2,".")*$B$38</f>
        <v>3.3769314343281007E-10</v>
      </c>
      <c r="V38" s="38">
        <f>IFERROR(s_RadSpec!$N$2*V2,".")*$B$38</f>
        <v>1.2872515371970502E-9</v>
      </c>
      <c r="W38" s="38">
        <f>IFERROR(s_RadSpec!$O$2*W2,".")*$B$38</f>
        <v>2.0809678882635068E-9</v>
      </c>
      <c r="X38" s="38">
        <f>IFERROR(s_RadSpec!$K$2*X2,".")*$B$38</f>
        <v>4.4452104589994041E-11</v>
      </c>
      <c r="Y38" s="47">
        <f t="shared" si="16"/>
        <v>2.4375634212328767E-9</v>
      </c>
      <c r="Z38" s="47">
        <f t="shared" si="12"/>
        <v>3.3769314343281007E-10</v>
      </c>
      <c r="AA38" s="47">
        <f t="shared" si="12"/>
        <v>1.2872515371970502E-9</v>
      </c>
      <c r="AB38" s="47">
        <f t="shared" si="12"/>
        <v>2.0809678882635068E-9</v>
      </c>
      <c r="AC38" s="47">
        <f t="shared" si="12"/>
        <v>4.4452104589994041E-11</v>
      </c>
      <c r="AD38" s="30">
        <f t="shared" si="24"/>
        <v>5.092233071507684E-2</v>
      </c>
      <c r="AE38" s="30">
        <f t="shared" si="24"/>
        <v>618624.52266937145</v>
      </c>
      <c r="AF38" s="30">
        <f t="shared" si="17"/>
        <v>5.0922326523384694E-2</v>
      </c>
      <c r="AG38" s="38">
        <f>IFERROR(s_RadSpec!$G$2*AG2,".")*$B$38</f>
        <v>9.8188750000000003E-4</v>
      </c>
      <c r="AH38" s="38">
        <f>IFERROR(s_RadSpec!$J$2*AH2,".")*$B$38</f>
        <v>8.082447133561645E-11</v>
      </c>
      <c r="AI38" s="47">
        <f t="shared" si="18"/>
        <v>9.8188750000000003E-4</v>
      </c>
      <c r="AJ38" s="47">
        <f t="shared" si="18"/>
        <v>8.082447133561645E-11</v>
      </c>
      <c r="AK38" s="47">
        <f t="shared" si="19"/>
        <v>9.8188758082447128E-4</v>
      </c>
    </row>
    <row r="39" spans="1:37" x14ac:dyDescent="0.25">
      <c r="A39" s="29" t="s">
        <v>297</v>
      </c>
      <c r="B39" s="24">
        <v>1</v>
      </c>
      <c r="C39" s="2"/>
      <c r="D39" s="30">
        <f>IFERROR(D11/$B39,0)</f>
        <v>0</v>
      </c>
      <c r="E39" s="30">
        <f>IFERROR(E11/$B39,0)</f>
        <v>0</v>
      </c>
      <c r="F39" s="30">
        <f>IFERROR(F11/$B39,0)</f>
        <v>7094.2571502794317</v>
      </c>
      <c r="G39" s="30">
        <f t="shared" si="20"/>
        <v>7094.2571502794317</v>
      </c>
      <c r="H39" s="38">
        <f>IFERROR(s_RadSpec!$I$11*H11,".")*$B$39</f>
        <v>0</v>
      </c>
      <c r="I39" s="38">
        <f>IFERROR(s_RadSpec!$G$11*I11,".")*$B$39</f>
        <v>0</v>
      </c>
      <c r="J39" s="38">
        <f>IFERROR(s_RadSpec!$F$11*J11,".")*$B$39</f>
        <v>7.0479542735535874E-9</v>
      </c>
      <c r="K39" s="47">
        <f t="shared" si="10"/>
        <v>0</v>
      </c>
      <c r="L39" s="47">
        <f t="shared" si="10"/>
        <v>0</v>
      </c>
      <c r="M39" s="47">
        <f t="shared" si="10"/>
        <v>7.0479542735535874E-9</v>
      </c>
      <c r="N39" s="47">
        <f t="shared" si="14"/>
        <v>7.0479542735535874E-9</v>
      </c>
      <c r="O39" s="30">
        <f t="shared" ref="O39:AE39" si="25">IFERROR(O11/$B39,0)</f>
        <v>7094.2571502794317</v>
      </c>
      <c r="P39" s="30">
        <f t="shared" si="25"/>
        <v>36774.492926136889</v>
      </c>
      <c r="Q39" s="30">
        <f t="shared" si="25"/>
        <v>10344.019530920519</v>
      </c>
      <c r="R39" s="30">
        <f t="shared" si="25"/>
        <v>6889.2942310004073</v>
      </c>
      <c r="S39" s="30">
        <f t="shared" si="25"/>
        <v>69474.433698220411</v>
      </c>
      <c r="T39" s="38">
        <f>IFERROR(s_RadSpec!$F$11*T11,".")*$B$39</f>
        <v>7.0479542735535874E-9</v>
      </c>
      <c r="U39" s="38">
        <f>IFERROR(s_RadSpec!$M$11*U11,".")*$B$39</f>
        <v>1.3596380540291096E-9</v>
      </c>
      <c r="V39" s="38">
        <f>IFERROR(s_RadSpec!$N$11*V11,".")*$B$39</f>
        <v>4.8337109042127334E-9</v>
      </c>
      <c r="W39" s="38">
        <f>IFERROR(s_RadSpec!$O$11*W11,".")*$B$39</f>
        <v>7.2576374768565235E-9</v>
      </c>
      <c r="X39" s="38">
        <f>IFERROR(s_RadSpec!$K$11*X11,".")*$B$39</f>
        <v>7.196892056319238E-10</v>
      </c>
      <c r="Y39" s="47">
        <f t="shared" si="16"/>
        <v>7.0479542735535874E-9</v>
      </c>
      <c r="Z39" s="47">
        <f t="shared" si="12"/>
        <v>1.3596380540291096E-9</v>
      </c>
      <c r="AA39" s="47">
        <f t="shared" si="12"/>
        <v>4.8337109042127334E-9</v>
      </c>
      <c r="AB39" s="47">
        <f t="shared" si="12"/>
        <v>7.2576374768565235E-9</v>
      </c>
      <c r="AC39" s="47">
        <f t="shared" si="12"/>
        <v>7.196892056319238E-10</v>
      </c>
      <c r="AD39" s="30">
        <f t="shared" si="25"/>
        <v>0</v>
      </c>
      <c r="AE39" s="30">
        <f t="shared" si="25"/>
        <v>276406.7016182298</v>
      </c>
      <c r="AF39" s="30">
        <f t="shared" si="17"/>
        <v>276406.7016182298</v>
      </c>
      <c r="AG39" s="38">
        <f>IFERROR(s_RadSpec!$G$11*AG11,".")*$B$39</f>
        <v>0</v>
      </c>
      <c r="AH39" s="38">
        <f>IFERROR(s_RadSpec!$J$11*AH11,".")*$B$39</f>
        <v>1.8089286441780824E-10</v>
      </c>
      <c r="AI39" s="47">
        <f t="shared" si="18"/>
        <v>0</v>
      </c>
      <c r="AJ39" s="47">
        <f t="shared" si="18"/>
        <v>1.8089286441780824E-10</v>
      </c>
      <c r="AK39" s="47">
        <f t="shared" si="19"/>
        <v>1.8089286441780824E-10</v>
      </c>
    </row>
    <row r="40" spans="1:37" x14ac:dyDescent="0.25">
      <c r="A40" s="29" t="s">
        <v>298</v>
      </c>
      <c r="B40" s="24">
        <v>1</v>
      </c>
      <c r="C40" s="2"/>
      <c r="D40" s="30">
        <f>IFERROR(D4/$B40,0)</f>
        <v>0</v>
      </c>
      <c r="E40" s="30">
        <f>IFERROR(E4/$B40,0)</f>
        <v>0</v>
      </c>
      <c r="F40" s="30">
        <f>IFERROR(F4/$B40,0)</f>
        <v>440956.38253448543</v>
      </c>
      <c r="G40" s="30">
        <f t="shared" si="20"/>
        <v>440956.38253448543</v>
      </c>
      <c r="H40" s="38">
        <f>IFERROR(s_RadSpec!$I$4*H4,".")*$B$40</f>
        <v>0</v>
      </c>
      <c r="I40" s="38">
        <f>IFERROR(s_RadSpec!$G$4*I4,".")*$B$40</f>
        <v>0</v>
      </c>
      <c r="J40" s="38">
        <f>IFERROR(s_RadSpec!$F$4*J4,".")*$B$40</f>
        <v>1.1338989972798435E-10</v>
      </c>
      <c r="K40" s="47">
        <f t="shared" si="10"/>
        <v>0</v>
      </c>
      <c r="L40" s="47">
        <f t="shared" si="10"/>
        <v>0</v>
      </c>
      <c r="M40" s="47">
        <f t="shared" si="10"/>
        <v>1.1338989972798435E-10</v>
      </c>
      <c r="N40" s="47">
        <f t="shared" si="14"/>
        <v>1.1338989972798435E-10</v>
      </c>
      <c r="O40" s="30">
        <f t="shared" ref="O40:AE40" si="26">IFERROR(O4/$B40,0)</f>
        <v>440956.38253448543</v>
      </c>
      <c r="P40" s="30">
        <f t="shared" si="26"/>
        <v>3109403.5554844174</v>
      </c>
      <c r="Q40" s="30">
        <f t="shared" si="26"/>
        <v>810841.500288871</v>
      </c>
      <c r="R40" s="30">
        <f t="shared" si="26"/>
        <v>480568.21361261251</v>
      </c>
      <c r="S40" s="30">
        <f t="shared" si="26"/>
        <v>5855911.7437149212</v>
      </c>
      <c r="T40" s="38">
        <f>IFERROR(s_RadSpec!$F$4*T4,".")*$B$40</f>
        <v>1.1338989972798435E-10</v>
      </c>
      <c r="U40" s="38">
        <f>IFERROR(s_RadSpec!$M$4*U4,".")*$B$40</f>
        <v>1.6080254334246575E-11</v>
      </c>
      <c r="V40" s="38">
        <f>IFERROR(s_RadSpec!$N$4*V4,".")*$B$40</f>
        <v>6.1664332649706482E-11</v>
      </c>
      <c r="W40" s="38">
        <f>IFERROR(s_RadSpec!$O$4*W4,".")*$B$40</f>
        <v>1.0404350222028032E-10</v>
      </c>
      <c r="X40" s="38">
        <f>IFERROR(s_RadSpec!$K$4*X4,".")*$B$40</f>
        <v>8.5383800487882021E-12</v>
      </c>
      <c r="Y40" s="47">
        <f t="shared" si="16"/>
        <v>1.1338989972798435E-10</v>
      </c>
      <c r="Z40" s="47">
        <f t="shared" si="12"/>
        <v>1.6080254334246575E-11</v>
      </c>
      <c r="AA40" s="47">
        <f t="shared" si="12"/>
        <v>6.1664332649706482E-11</v>
      </c>
      <c r="AB40" s="47">
        <f t="shared" si="12"/>
        <v>1.0404350222028032E-10</v>
      </c>
      <c r="AC40" s="47">
        <f t="shared" si="12"/>
        <v>8.5383800487882021E-12</v>
      </c>
      <c r="AD40" s="30">
        <f t="shared" si="26"/>
        <v>0</v>
      </c>
      <c r="AE40" s="30">
        <f t="shared" si="26"/>
        <v>32633183.552295782</v>
      </c>
      <c r="AF40" s="30">
        <f t="shared" si="17"/>
        <v>32633183.552295785</v>
      </c>
      <c r="AG40" s="38">
        <f>IFERROR(s_RadSpec!$G$4*AG4,".")*$B$40</f>
        <v>0</v>
      </c>
      <c r="AH40" s="38">
        <f>IFERROR(s_RadSpec!$J$4*AH4,".")*$B$40</f>
        <v>1.5321827219178085E-12</v>
      </c>
      <c r="AI40" s="47">
        <f t="shared" si="18"/>
        <v>0</v>
      </c>
      <c r="AJ40" s="47">
        <f t="shared" si="18"/>
        <v>1.5321827219178085E-12</v>
      </c>
      <c r="AK40" s="47">
        <f t="shared" si="19"/>
        <v>1.5321827219178085E-12</v>
      </c>
    </row>
    <row r="41" spans="1:37" x14ac:dyDescent="0.25">
      <c r="A41" s="29" t="s">
        <v>299</v>
      </c>
      <c r="B41" s="31">
        <v>0.99987999999999999</v>
      </c>
      <c r="C41" s="111"/>
      <c r="D41" s="30">
        <f>IFERROR(D8/$B41,0)</f>
        <v>1146929.9102368164</v>
      </c>
      <c r="E41" s="30">
        <f>IFERROR(E8/$B41,0)</f>
        <v>6098726.5018786872</v>
      </c>
      <c r="F41" s="30">
        <f>IFERROR(F8/$B41,0)</f>
        <v>486.27010521460915</v>
      </c>
      <c r="G41" s="30">
        <f t="shared" si="20"/>
        <v>486.0252901498539</v>
      </c>
      <c r="H41" s="38">
        <f>IFERROR(s_RadSpec!$I$8*H8,".")*$B$41</f>
        <v>4.3594643015000003E-11</v>
      </c>
      <c r="I41" s="38">
        <f>IFERROR(s_RadSpec!$G$8*I8,".")*$B$41</f>
        <v>8.1984328998189588E-12</v>
      </c>
      <c r="J41" s="38">
        <f>IFERROR(s_RadSpec!$F$8*J8,".")*$B$41</f>
        <v>1.0282351200251791E-7</v>
      </c>
      <c r="K41" s="47">
        <f t="shared" si="10"/>
        <v>4.3594643015000003E-11</v>
      </c>
      <c r="L41" s="47">
        <f t="shared" si="10"/>
        <v>8.1984328998189588E-12</v>
      </c>
      <c r="M41" s="47">
        <f t="shared" si="10"/>
        <v>1.0282351200251791E-7</v>
      </c>
      <c r="N41" s="47">
        <f t="shared" si="14"/>
        <v>1.0287530507843273E-7</v>
      </c>
      <c r="O41" s="30">
        <f t="shared" ref="O41:AE41" si="27">IFERROR(O8/$B41,0)</f>
        <v>486.27010521460915</v>
      </c>
      <c r="P41" s="30">
        <f t="shared" si="27"/>
        <v>4117.8607051687459</v>
      </c>
      <c r="Q41" s="30">
        <f t="shared" si="27"/>
        <v>1075.8879036552707</v>
      </c>
      <c r="R41" s="30">
        <f t="shared" si="27"/>
        <v>652.0556257430386</v>
      </c>
      <c r="S41" s="30">
        <f t="shared" si="27"/>
        <v>7466.9567690809408</v>
      </c>
      <c r="T41" s="38">
        <f>IFERROR(s_RadSpec!$F$8*T8,".")*$B$41</f>
        <v>1.0282351200251791E-7</v>
      </c>
      <c r="U41" s="38">
        <f>IFERROR(s_RadSpec!$M$8*U8,".")*$B$41</f>
        <v>1.214222713683343E-8</v>
      </c>
      <c r="V41" s="38">
        <f>IFERROR(s_RadSpec!$N$8*V8,".")*$B$41</f>
        <v>4.6473243011774496E-8</v>
      </c>
      <c r="W41" s="38">
        <f>IFERROR(s_RadSpec!$O$8*W8,".")*$B$41</f>
        <v>7.6680574518505806E-8</v>
      </c>
      <c r="X41" s="38">
        <f>IFERROR(s_RadSpec!$K$8*X8,".")*$B$41</f>
        <v>6.6961684051847267E-9</v>
      </c>
      <c r="Y41" s="47">
        <f t="shared" si="16"/>
        <v>1.0282351200251791E-7</v>
      </c>
      <c r="Z41" s="47">
        <f t="shared" si="12"/>
        <v>1.214222713683343E-8</v>
      </c>
      <c r="AA41" s="47">
        <f t="shared" si="12"/>
        <v>4.6473243011774496E-8</v>
      </c>
      <c r="AB41" s="47">
        <f t="shared" si="12"/>
        <v>7.6680574518505806E-8</v>
      </c>
      <c r="AC41" s="47">
        <f t="shared" si="12"/>
        <v>6.6961684051847267E-9</v>
      </c>
      <c r="AD41" s="30">
        <f t="shared" si="27"/>
        <v>19.658378661459036</v>
      </c>
      <c r="AE41" s="30">
        <f t="shared" si="27"/>
        <v>59834.683341209886</v>
      </c>
      <c r="AF41" s="30">
        <f t="shared" si="17"/>
        <v>19.651922123127932</v>
      </c>
      <c r="AG41" s="38">
        <f>IFERROR(s_RadSpec!$G$8*AG8,".")*$B$41</f>
        <v>2.54344475E-6</v>
      </c>
      <c r="AH41" s="38">
        <f>IFERROR(s_RadSpec!$J$8*AH8,".")*$B$41</f>
        <v>8.3563574181336991E-10</v>
      </c>
      <c r="AI41" s="47">
        <f t="shared" si="18"/>
        <v>2.54344475E-6</v>
      </c>
      <c r="AJ41" s="47">
        <f t="shared" si="18"/>
        <v>8.3563574181336991E-10</v>
      </c>
      <c r="AK41" s="47">
        <f t="shared" si="19"/>
        <v>2.5442803857418135E-6</v>
      </c>
    </row>
    <row r="42" spans="1:37" x14ac:dyDescent="0.25">
      <c r="A42" s="29" t="s">
        <v>300</v>
      </c>
      <c r="B42" s="24">
        <v>0.97898250799999997</v>
      </c>
      <c r="C42" s="2"/>
      <c r="D42" s="30">
        <f>IFERROR(D19/$B42,0)</f>
        <v>0</v>
      </c>
      <c r="E42" s="30">
        <f>IFERROR(E19/$B42,0)</f>
        <v>0</v>
      </c>
      <c r="F42" s="30">
        <f>IFERROR(F19/$B42,0)</f>
        <v>1080215.314528767</v>
      </c>
      <c r="G42" s="30">
        <f t="shared" si="20"/>
        <v>1080215.314528767</v>
      </c>
      <c r="H42" s="48">
        <f>IFERROR(s_RadSpec!$I$19*H19,".")*$B$42</f>
        <v>0</v>
      </c>
      <c r="I42" s="48">
        <f>IFERROR(s_RadSpec!$G$19*I19,".")*$B$42</f>
        <v>0</v>
      </c>
      <c r="J42" s="48">
        <f>IFERROR(s_RadSpec!$F$19*J19,".")*$B$42</f>
        <v>4.6287068260842065E-11</v>
      </c>
      <c r="K42" s="47">
        <f t="shared" si="10"/>
        <v>0</v>
      </c>
      <c r="L42" s="47">
        <f t="shared" si="10"/>
        <v>0</v>
      </c>
      <c r="M42" s="47">
        <f t="shared" si="10"/>
        <v>4.6287068260842065E-11</v>
      </c>
      <c r="N42" s="47">
        <f t="shared" si="14"/>
        <v>4.6287068260842065E-11</v>
      </c>
      <c r="O42" s="30">
        <f t="shared" ref="O42:AE42" si="28">IFERROR(O19/$B42,0)</f>
        <v>1080215.314528767</v>
      </c>
      <c r="P42" s="30">
        <f t="shared" si="28"/>
        <v>10712514.649432251</v>
      </c>
      <c r="Q42" s="30">
        <f t="shared" si="28"/>
        <v>2636838.2922753734</v>
      </c>
      <c r="R42" s="30">
        <f t="shared" si="28"/>
        <v>1412180.912330807</v>
      </c>
      <c r="S42" s="30">
        <f t="shared" si="28"/>
        <v>18959668.49867839</v>
      </c>
      <c r="T42" s="48">
        <f>IFERROR(s_RadSpec!$F$19*T19,".")*$B$42</f>
        <v>4.6287068260842065E-11</v>
      </c>
      <c r="U42" s="48">
        <f>IFERROR(s_RadSpec!$M$19*U19,".")*$B$42</f>
        <v>4.6674381913353957E-12</v>
      </c>
      <c r="V42" s="48">
        <f>IFERROR(s_RadSpec!$N$19*V19,".")*$B$42</f>
        <v>1.8962103268325245E-11</v>
      </c>
      <c r="W42" s="48">
        <f>IFERROR(s_RadSpec!$O$19*W19,".")*$B$42</f>
        <v>3.5406228453743182E-11</v>
      </c>
      <c r="X42" s="48">
        <f>IFERROR(s_RadSpec!$K$19*X19,".")*$B$42</f>
        <v>2.6371769107400441E-12</v>
      </c>
      <c r="Y42" s="47">
        <f t="shared" si="16"/>
        <v>4.6287068260842065E-11</v>
      </c>
      <c r="Z42" s="47">
        <f t="shared" si="12"/>
        <v>4.6674381913353957E-12</v>
      </c>
      <c r="AA42" s="47">
        <f t="shared" si="12"/>
        <v>1.8962103268325245E-11</v>
      </c>
      <c r="AB42" s="47">
        <f t="shared" si="12"/>
        <v>3.5406228453743182E-11</v>
      </c>
      <c r="AC42" s="47">
        <f t="shared" si="12"/>
        <v>2.6371769107400441E-12</v>
      </c>
      <c r="AD42" s="30">
        <f t="shared" si="28"/>
        <v>0</v>
      </c>
      <c r="AE42" s="30">
        <f t="shared" si="28"/>
        <v>201935048.33329412</v>
      </c>
      <c r="AF42" s="30">
        <f t="shared" si="17"/>
        <v>201935048.33329412</v>
      </c>
      <c r="AG42" s="48">
        <f>IFERROR(s_RadSpec!$G$19*AG19,".")*$B$42</f>
        <v>0</v>
      </c>
      <c r="AH42" s="48">
        <f>IFERROR(s_RadSpec!$J$19*AH19,".")*$B$42</f>
        <v>2.4760436790286605E-13</v>
      </c>
      <c r="AI42" s="47">
        <f t="shared" si="18"/>
        <v>0</v>
      </c>
      <c r="AJ42" s="47">
        <f t="shared" si="18"/>
        <v>2.4760436790286605E-13</v>
      </c>
      <c r="AK42" s="47">
        <f t="shared" si="19"/>
        <v>2.4760436790286605E-13</v>
      </c>
    </row>
    <row r="43" spans="1:37" x14ac:dyDescent="0.25">
      <c r="A43" s="29" t="s">
        <v>301</v>
      </c>
      <c r="B43" s="24">
        <v>2.0897492E-2</v>
      </c>
      <c r="C43" s="2"/>
      <c r="D43" s="30">
        <f>IFERROR(D28/$B43,0)</f>
        <v>0</v>
      </c>
      <c r="E43" s="30">
        <f>IFERROR(E28/$B43,0)</f>
        <v>0</v>
      </c>
      <c r="F43" s="30">
        <f>IFERROR(F28/$B43,0)</f>
        <v>602.96907373755619</v>
      </c>
      <c r="G43" s="30">
        <f t="shared" si="20"/>
        <v>602.96907373755619</v>
      </c>
      <c r="H43" s="48">
        <f>IFERROR(s_RadSpec!$I$28*H28,".")*$B$43</f>
        <v>0</v>
      </c>
      <c r="I43" s="48">
        <f>IFERROR(s_RadSpec!$G$28*I28,".")*$B$43</f>
        <v>0</v>
      </c>
      <c r="J43" s="48">
        <f>IFERROR(s_RadSpec!$F$28*J28,".")*$B$43</f>
        <v>8.2922992534377699E-8</v>
      </c>
      <c r="K43" s="47">
        <f t="shared" si="10"/>
        <v>0</v>
      </c>
      <c r="L43" s="47">
        <f t="shared" si="10"/>
        <v>0</v>
      </c>
      <c r="M43" s="47">
        <f t="shared" si="10"/>
        <v>8.2922992534377699E-8</v>
      </c>
      <c r="N43" s="47">
        <f t="shared" si="14"/>
        <v>8.2922992534377699E-8</v>
      </c>
      <c r="O43" s="30">
        <f t="shared" ref="O43:AE43" si="29">IFERROR(O28/$B43,0)</f>
        <v>602.96907373755619</v>
      </c>
      <c r="P43" s="30">
        <f t="shared" si="29"/>
        <v>7282.9076125832999</v>
      </c>
      <c r="Q43" s="30">
        <f t="shared" si="29"/>
        <v>1760.2626392206846</v>
      </c>
      <c r="R43" s="30">
        <f t="shared" si="29"/>
        <v>957.73474101106251</v>
      </c>
      <c r="S43" s="30">
        <f t="shared" si="29"/>
        <v>13141.290141825075</v>
      </c>
      <c r="T43" s="48">
        <f>IFERROR(s_RadSpec!$F$28*T28,".")*$B$43</f>
        <v>8.2922992534377699E-8</v>
      </c>
      <c r="U43" s="48">
        <f>IFERROR(s_RadSpec!$M$28*U28,".")*$B$43</f>
        <v>6.8653898497367679E-9</v>
      </c>
      <c r="V43" s="48">
        <f>IFERROR(s_RadSpec!$N$28*V28,".")*$B$43</f>
        <v>2.8404852143050849E-8</v>
      </c>
      <c r="W43" s="48">
        <f>IFERROR(s_RadSpec!$O$28*W28,".")*$B$43</f>
        <v>5.2206522180886902E-8</v>
      </c>
      <c r="X43" s="48">
        <f>IFERROR(s_RadSpec!$K$28*X28,".")*$B$43</f>
        <v>3.8048014662475109E-9</v>
      </c>
      <c r="Y43" s="47">
        <f t="shared" si="16"/>
        <v>8.2922992534377699E-8</v>
      </c>
      <c r="Z43" s="47">
        <f t="shared" si="12"/>
        <v>6.8653898497367679E-9</v>
      </c>
      <c r="AA43" s="47">
        <f t="shared" si="12"/>
        <v>2.8404852143050849E-8</v>
      </c>
      <c r="AB43" s="47">
        <f t="shared" si="12"/>
        <v>5.2206522180886902E-8</v>
      </c>
      <c r="AC43" s="47">
        <f t="shared" si="12"/>
        <v>3.8048014662475109E-9</v>
      </c>
      <c r="AD43" s="30">
        <f t="shared" si="29"/>
        <v>0</v>
      </c>
      <c r="AE43" s="30">
        <f t="shared" si="29"/>
        <v>159205.36587461611</v>
      </c>
      <c r="AF43" s="30">
        <f t="shared" si="17"/>
        <v>159205.36587461611</v>
      </c>
      <c r="AG43" s="48">
        <f>IFERROR(s_RadSpec!$G$28*AG28,".")*$B$43</f>
        <v>0</v>
      </c>
      <c r="AH43" s="48">
        <f>IFERROR(s_RadSpec!$J$28*AH28,".")*$B$43</f>
        <v>3.1405976629819151E-10</v>
      </c>
      <c r="AI43" s="47">
        <f t="shared" si="18"/>
        <v>0</v>
      </c>
      <c r="AJ43" s="47">
        <f t="shared" si="18"/>
        <v>3.1405976629819151E-10</v>
      </c>
      <c r="AK43" s="47">
        <f t="shared" si="19"/>
        <v>3.1405976629819151E-10</v>
      </c>
    </row>
    <row r="44" spans="1:37" x14ac:dyDescent="0.25">
      <c r="A44" s="29" t="s">
        <v>302</v>
      </c>
      <c r="B44" s="24">
        <v>0.99987999999999999</v>
      </c>
      <c r="C44" s="2"/>
      <c r="D44" s="30">
        <f>IFERROR(D15/$B44,0)</f>
        <v>2978542.2214331864</v>
      </c>
      <c r="E44" s="30">
        <f>IFERROR(E15/$B44,0)</f>
        <v>2170365303.1596746</v>
      </c>
      <c r="F44" s="30">
        <f>IFERROR(F15/$B44,0)</f>
        <v>0</v>
      </c>
      <c r="G44" s="30">
        <f t="shared" si="20"/>
        <v>2974460.1642917381</v>
      </c>
      <c r="H44" s="38">
        <f>IFERROR(s_RadSpec!$I$15*H15,".")*$B$44</f>
        <v>1.6786735349999999E-11</v>
      </c>
      <c r="I44" s="38">
        <f>IFERROR(s_RadSpec!$G$15*I15,".")*$B$44</f>
        <v>2.3037596448491273E-14</v>
      </c>
      <c r="J44" s="38">
        <f>IFERROR(s_RadSpec!$F$15*J15,".")*$B$44</f>
        <v>0</v>
      </c>
      <c r="K44" s="47">
        <f t="shared" si="10"/>
        <v>1.6786735349999999E-11</v>
      </c>
      <c r="L44" s="47">
        <f t="shared" si="10"/>
        <v>2.3037596448491273E-14</v>
      </c>
      <c r="M44" s="47">
        <f t="shared" si="10"/>
        <v>0</v>
      </c>
      <c r="N44" s="47">
        <f t="shared" si="14"/>
        <v>1.6809772946448491E-11</v>
      </c>
      <c r="O44" s="30">
        <f t="shared" ref="O44:AE44" si="30">IFERROR(O15/$B44,0)</f>
        <v>0</v>
      </c>
      <c r="P44" s="30">
        <f t="shared" si="30"/>
        <v>0</v>
      </c>
      <c r="Q44" s="30">
        <f t="shared" si="30"/>
        <v>0</v>
      </c>
      <c r="R44" s="30">
        <f t="shared" si="30"/>
        <v>0</v>
      </c>
      <c r="S44" s="30">
        <f t="shared" si="30"/>
        <v>0</v>
      </c>
      <c r="T44" s="38">
        <f>IFERROR(s_RadSpec!$F$15*T15,".")*$B$44</f>
        <v>0</v>
      </c>
      <c r="U44" s="38">
        <f>IFERROR(s_RadSpec!$M$15*U15,".")*$B$44</f>
        <v>0</v>
      </c>
      <c r="V44" s="38">
        <f>IFERROR(s_RadSpec!$N$15*V15,".")*$B$44</f>
        <v>0</v>
      </c>
      <c r="W44" s="38">
        <f>IFERROR(s_RadSpec!$O$15*W15,".")*$B$44</f>
        <v>0</v>
      </c>
      <c r="X44" s="38">
        <f>IFERROR(s_RadSpec!$K$15*X15,".")*$B$44</f>
        <v>0</v>
      </c>
      <c r="Y44" s="47">
        <f t="shared" si="16"/>
        <v>0</v>
      </c>
      <c r="Z44" s="47">
        <f t="shared" si="12"/>
        <v>0</v>
      </c>
      <c r="AA44" s="47">
        <f t="shared" si="12"/>
        <v>0</v>
      </c>
      <c r="AB44" s="47">
        <f t="shared" si="12"/>
        <v>0</v>
      </c>
      <c r="AC44" s="47">
        <f t="shared" si="12"/>
        <v>0</v>
      </c>
      <c r="AD44" s="30">
        <f t="shared" si="30"/>
        <v>6995.8642923341777</v>
      </c>
      <c r="AE44" s="30">
        <f t="shared" si="30"/>
        <v>18688092.8791724</v>
      </c>
      <c r="AF44" s="30">
        <f t="shared" si="17"/>
        <v>6993.2463792625504</v>
      </c>
      <c r="AG44" s="38">
        <f>IFERROR(s_RadSpec!$G$15*AG15,".")*$B$44</f>
        <v>7.1470797474999996E-9</v>
      </c>
      <c r="AH44" s="38">
        <f>IFERROR(s_RadSpec!$J$15*AH15,".")*$B$44</f>
        <v>2.6755004014200004E-12</v>
      </c>
      <c r="AI44" s="47">
        <f t="shared" si="18"/>
        <v>7.1470797474999996E-9</v>
      </c>
      <c r="AJ44" s="47">
        <f t="shared" si="18"/>
        <v>2.6755004014200004E-12</v>
      </c>
      <c r="AK44" s="47">
        <f t="shared" si="19"/>
        <v>7.1497552479014197E-9</v>
      </c>
    </row>
    <row r="45" spans="1:37" x14ac:dyDescent="0.25">
      <c r="A45" s="26" t="s">
        <v>20</v>
      </c>
      <c r="B45" s="26" t="s">
        <v>289</v>
      </c>
      <c r="C45" s="110"/>
      <c r="D45" s="27">
        <f>IFERROR(IF(AND(D46&lt;&gt;0,D47&lt;&gt;0),1/SUM(1/D46,1/D47),IF(AND(D46&lt;&gt;0,D47=0),1/(1/D46),IF(AND(D46=0,D47&lt;&gt;0),1/(1/D47),IF(AND(D46=0,D47=0),".")))),".")</f>
        <v>11441.222151350206</v>
      </c>
      <c r="E45" s="27">
        <f t="shared" ref="E45:G45" si="31">IFERROR(IF(AND(E46&lt;&gt;0,E47&lt;&gt;0),1/SUM(1/E46,1/E47),IF(AND(E46&lt;&gt;0,E47=0),1/(1/E46),IF(AND(E46=0,E47&lt;&gt;0),1/(1/E47),IF(AND(E46=0,E47=0),".")))),".")</f>
        <v>4011838.5886174073</v>
      </c>
      <c r="F45" s="27">
        <f t="shared" si="31"/>
        <v>83.701377374066155</v>
      </c>
      <c r="G45" s="28">
        <f t="shared" si="31"/>
        <v>83.091763351143101</v>
      </c>
      <c r="H45" s="45"/>
      <c r="I45" s="45"/>
      <c r="J45" s="45"/>
      <c r="K45" s="46">
        <f>IFERROR(IF(SUM(H46:H47)&gt;0.01,1-EXP(-SUM(H46:H47)),SUM(H46:H47)),".")</f>
        <v>4.3701625000000001E-9</v>
      </c>
      <c r="L45" s="46">
        <f>IFERROR(IF(SUM(I46:I47)&gt;0.01,1-EXP(-SUM(I46:I47)),SUM(I46:I47)),".")</f>
        <v>1.2463113581354581E-11</v>
      </c>
      <c r="M45" s="46">
        <f>IFERROR(IF(SUM(J46:J47)&gt;0.01,1-EXP(-SUM(J46:J47)),SUM(J46:J47)),".")</f>
        <v>5.9736173487978844E-7</v>
      </c>
      <c r="N45" s="46">
        <f>IFERROR(IF(SUM(H46:J47)&gt;0.01,1-EXP(-SUM(H46:J47)),SUM(H46:J47)),".")</f>
        <v>6.0174436049336977E-7</v>
      </c>
      <c r="O45" s="27">
        <f t="shared" ref="O45:AF45" si="32">IFERROR(IF(AND(O46&lt;&gt;0,O47&lt;&gt;0),1/SUM(1/O46,1/O47),IF(AND(O46&lt;&gt;0,O47=0),1/(1/O46),IF(AND(O46=0,O47&lt;&gt;0),1/(1/O47),IF(AND(O46=0,O47=0),".")))),".")</f>
        <v>83.701377374066155</v>
      </c>
      <c r="P45" s="27">
        <f t="shared" si="32"/>
        <v>766.46785899179577</v>
      </c>
      <c r="Q45" s="27">
        <f t="shared" si="32"/>
        <v>192.08749778479924</v>
      </c>
      <c r="R45" s="27">
        <f t="shared" si="32"/>
        <v>102.44603505825367</v>
      </c>
      <c r="S45" s="27">
        <f t="shared" si="32"/>
        <v>1313.9989602473488</v>
      </c>
      <c r="T45" s="45"/>
      <c r="U45" s="45"/>
      <c r="V45" s="45"/>
      <c r="W45" s="45"/>
      <c r="X45" s="45"/>
      <c r="Y45" s="46">
        <f>IFERROR(IF(SUM(T46:T47)&gt;0.01,1-EXP(-SUM(T46:T47)),SUM(T46:T47)),".")</f>
        <v>5.9736173487978844E-7</v>
      </c>
      <c r="Z45" s="46">
        <f t="shared" ref="Z45:AC45" si="33">IFERROR(IF(SUM(U46:U47)&gt;0.01,1-EXP(-SUM(U46:U47)),SUM(U46:U47)),".")</f>
        <v>6.5234307496950381E-8</v>
      </c>
      <c r="AA45" s="46">
        <f t="shared" si="33"/>
        <v>2.6029804425906134E-7</v>
      </c>
      <c r="AB45" s="46">
        <f t="shared" si="33"/>
        <v>4.8806183637627954E-7</v>
      </c>
      <c r="AC45" s="46">
        <f t="shared" si="33"/>
        <v>3.8051780490441141E-8</v>
      </c>
      <c r="AD45" s="27">
        <f t="shared" si="32"/>
        <v>12.931591878960301</v>
      </c>
      <c r="AE45" s="27">
        <f t="shared" si="32"/>
        <v>13370.52986535405</v>
      </c>
      <c r="AF45" s="28">
        <f t="shared" si="32"/>
        <v>12.919096900059783</v>
      </c>
      <c r="AG45" s="45"/>
      <c r="AH45" s="45"/>
      <c r="AI45" s="46">
        <f>IFERROR(IF(SUM(AG46:AG47)&gt;0.01,1-EXP(-SUM(AG46:AG47)),SUM(AG46:AG47)),".")</f>
        <v>3.8665000000000002E-6</v>
      </c>
      <c r="AJ45" s="46">
        <f>IFERROR(IF(SUM(AH46:AH47)&gt;0.01,1-EXP(-SUM(AH46:AH47)),SUM(AH46:AH47)),".")</f>
        <v>3.7395675791100005E-9</v>
      </c>
      <c r="AK45" s="46">
        <f>IFERROR(IF(SUM(AG46:AH47)&gt;0.01,1-EXP(-SUM(AG46:AH47)),SUM(AG46:AH47)),".")</f>
        <v>3.8702395675791104E-6</v>
      </c>
    </row>
    <row r="46" spans="1:37" x14ac:dyDescent="0.25">
      <c r="A46" s="29" t="s">
        <v>303</v>
      </c>
      <c r="B46" s="24">
        <v>1</v>
      </c>
      <c r="C46" s="2"/>
      <c r="D46" s="30">
        <f>IFERROR(D10/$B46,0)</f>
        <v>11441.222151350206</v>
      </c>
      <c r="E46" s="30">
        <f>IFERROR(E10/$B46,0)</f>
        <v>4011838.5886174073</v>
      </c>
      <c r="F46" s="30">
        <f>IFERROR(F10/$B46,0)</f>
        <v>450431.89346158871</v>
      </c>
      <c r="G46" s="30">
        <f t="shared" si="20"/>
        <v>11126.861340145377</v>
      </c>
      <c r="H46" s="38">
        <f>IFERROR(s_RadSpec!$I$10*H10,".")*$B$46</f>
        <v>4.3701625000000001E-9</v>
      </c>
      <c r="I46" s="38">
        <f>IFERROR(s_RadSpec!$G$10*I10,".")*$B$46</f>
        <v>1.2463113581354581E-11</v>
      </c>
      <c r="J46" s="38">
        <f>IFERROR(s_RadSpec!$F$10*J10,".")*$B$46</f>
        <v>1.1100457300158705E-10</v>
      </c>
      <c r="K46" s="47">
        <f t="shared" ref="K46:M47" si="34">IFERROR(IF(H46&gt;0.01,1-EXP(-H46),H46),".")</f>
        <v>4.3701625000000001E-9</v>
      </c>
      <c r="L46" s="47">
        <f t="shared" si="34"/>
        <v>1.2463113581354581E-11</v>
      </c>
      <c r="M46" s="47">
        <f t="shared" si="34"/>
        <v>1.1100457300158705E-10</v>
      </c>
      <c r="N46" s="47">
        <f t="shared" ref="N46:N47" si="35">IFERROR(IF(SUM(H46:J46)&gt;0.01,1-EXP(-SUM(H46:J46)),SUM(H46:J46)),".")</f>
        <v>4.4936301865829418E-9</v>
      </c>
      <c r="O46" s="30">
        <f t="shared" ref="O46:AE46" si="36">IFERROR(O10/$B46,0)</f>
        <v>450431.89346158871</v>
      </c>
      <c r="P46" s="30">
        <f t="shared" si="36"/>
        <v>2014533.7408933809</v>
      </c>
      <c r="Q46" s="30">
        <f t="shared" si="36"/>
        <v>652775.28591987269</v>
      </c>
      <c r="R46" s="30">
        <f t="shared" si="36"/>
        <v>467337.64038253075</v>
      </c>
      <c r="S46" s="30">
        <f t="shared" si="36"/>
        <v>1177450.6336254212</v>
      </c>
      <c r="T46" s="38">
        <f>IFERROR(s_RadSpec!$F$10*T10,".")*$B46</f>
        <v>1.1100457300158705E-10</v>
      </c>
      <c r="U46" s="38">
        <f>IFERROR(s_RadSpec!$M$10*U10,".")*$B46</f>
        <v>2.4819638899583097E-11</v>
      </c>
      <c r="V46" s="38">
        <f>IFERROR(s_RadSpec!$N$10*V10,".")*$B46</f>
        <v>7.6596037071993942E-11</v>
      </c>
      <c r="W46" s="38">
        <f>IFERROR(s_RadSpec!$O$10*W10,".")*$B46</f>
        <v>1.0698902823036771E-10</v>
      </c>
      <c r="X46" s="38">
        <f>IFERROR(s_RadSpec!$K$10*X10,".")*$B46</f>
        <v>4.246462532874764E-11</v>
      </c>
      <c r="Y46" s="47">
        <f t="shared" ref="Y46:AC47" si="37">IFERROR(IF(T46&gt;0.01,1-EXP(-T46),T46),".")</f>
        <v>1.1100457300158705E-10</v>
      </c>
      <c r="Z46" s="47">
        <f t="shared" si="37"/>
        <v>2.4819638899583097E-11</v>
      </c>
      <c r="AA46" s="47">
        <f t="shared" si="37"/>
        <v>7.6596037071993942E-11</v>
      </c>
      <c r="AB46" s="47">
        <f t="shared" si="37"/>
        <v>1.0698902823036771E-10</v>
      </c>
      <c r="AC46" s="47">
        <f t="shared" si="37"/>
        <v>4.246462532874764E-11</v>
      </c>
      <c r="AD46" s="30">
        <f t="shared" si="36"/>
        <v>12.931591878960301</v>
      </c>
      <c r="AE46" s="30">
        <f t="shared" si="36"/>
        <v>19626864.352316026</v>
      </c>
      <c r="AF46" s="30">
        <f t="shared" ref="AF46:AF47" si="38">IFERROR(IF(AND(AD46&lt;&gt;0,AE46&lt;&gt;0),1/((1/AD46)+(1/AE46)),IF(AND(AD46&lt;&gt;0,AE46=0),1/((1/AD46)),IF(AND(AD46=0,AE46&lt;&gt;0),1/((1/AE46)),IF(AND(AD46=0,AE46=0),0)))),0)</f>
        <v>12.931583358701774</v>
      </c>
      <c r="AG46" s="38">
        <f>IFERROR(s_RadSpec!$G$10*AG10,".")*$B$46</f>
        <v>3.8665000000000002E-6</v>
      </c>
      <c r="AH46" s="38">
        <f>IFERROR(s_RadSpec!$J$10*AH10,".")*$B$46</f>
        <v>2.5475286883561649E-12</v>
      </c>
      <c r="AI46" s="47">
        <f>IFERROR(IF(AG46&gt;0.01,1-EXP(-AG46),AG46),".")</f>
        <v>3.8665000000000002E-6</v>
      </c>
      <c r="AJ46" s="47">
        <f>IFERROR(IF(AH46&gt;0.01,1-EXP(-AH46),AH46),".")</f>
        <v>2.5475286883561649E-12</v>
      </c>
      <c r="AK46" s="47">
        <f>IFERROR(IF(SUM(AG46:AH46)&gt;0.01,1-EXP(-SUM(AG46:AH46)),SUM(AG46:AH46)),".")</f>
        <v>3.8665025475286885E-6</v>
      </c>
    </row>
    <row r="47" spans="1:37" x14ac:dyDescent="0.25">
      <c r="A47" s="29" t="s">
        <v>304</v>
      </c>
      <c r="B47" s="32">
        <v>0.94399</v>
      </c>
      <c r="C47" s="2"/>
      <c r="D47" s="30">
        <f>IFERROR(D6/$B$47,0)</f>
        <v>0</v>
      </c>
      <c r="E47" s="30">
        <f>IFERROR(E6/$B$47,0)</f>
        <v>0</v>
      </c>
      <c r="F47" s="30">
        <f>IFERROR(F6/$B$47,0)</f>
        <v>83.716934049317572</v>
      </c>
      <c r="G47" s="30">
        <f t="shared" si="20"/>
        <v>83.716934049317572</v>
      </c>
      <c r="H47" s="38">
        <f>IFERROR(s_RadSpec!$I$6*H6,".")*$B$47</f>
        <v>0</v>
      </c>
      <c r="I47" s="38">
        <f>IFERROR(s_RadSpec!$G$6*I6,".")*$B$47</f>
        <v>0</v>
      </c>
      <c r="J47" s="38">
        <f>IFERROR(s_RadSpec!$F$6*J6,".")*$B$47</f>
        <v>5.9725073030678684E-7</v>
      </c>
      <c r="K47" s="47">
        <f t="shared" si="34"/>
        <v>0</v>
      </c>
      <c r="L47" s="47">
        <f t="shared" si="34"/>
        <v>0</v>
      </c>
      <c r="M47" s="47">
        <f t="shared" si="34"/>
        <v>5.9725073030678684E-7</v>
      </c>
      <c r="N47" s="47">
        <f t="shared" si="35"/>
        <v>5.9725073030678684E-7</v>
      </c>
      <c r="O47" s="30">
        <f t="shared" ref="O47:AE47" si="39">IFERROR(O6/$B$47,0)</f>
        <v>83.716934049317572</v>
      </c>
      <c r="P47" s="30">
        <f t="shared" si="39"/>
        <v>766.75958732939159</v>
      </c>
      <c r="Q47" s="30">
        <f t="shared" si="39"/>
        <v>192.14403863184285</v>
      </c>
      <c r="R47" s="30">
        <f t="shared" si="39"/>
        <v>102.46849738606228</v>
      </c>
      <c r="S47" s="30">
        <f t="shared" si="39"/>
        <v>1315.4669812379734</v>
      </c>
      <c r="T47" s="38">
        <f>IFERROR(s_RadSpec!$F$6*T6,".")*$B47</f>
        <v>5.9725073030678684E-7</v>
      </c>
      <c r="U47" s="38">
        <f>IFERROR(s_RadSpec!$M$6*U6,".")*$B47</f>
        <v>6.5209487858050799E-8</v>
      </c>
      <c r="V47" s="38">
        <f>IFERROR(s_RadSpec!$N$6*V6,".")*$B47</f>
        <v>2.6022144822198933E-7</v>
      </c>
      <c r="W47" s="38">
        <f>IFERROR(s_RadSpec!$O$6*W6,".")*$B47</f>
        <v>4.8795484734804915E-7</v>
      </c>
      <c r="X47" s="38">
        <f>IFERROR(s_RadSpec!$K$6*X6,".")*$B47</f>
        <v>3.8009315865112393E-8</v>
      </c>
      <c r="Y47" s="47">
        <f t="shared" si="37"/>
        <v>5.9725073030678684E-7</v>
      </c>
      <c r="Z47" s="47">
        <f t="shared" si="37"/>
        <v>6.5209487858050799E-8</v>
      </c>
      <c r="AA47" s="47">
        <f t="shared" si="37"/>
        <v>2.6022144822198933E-7</v>
      </c>
      <c r="AB47" s="47">
        <f t="shared" si="37"/>
        <v>4.8795484734804915E-7</v>
      </c>
      <c r="AC47" s="47">
        <f t="shared" si="37"/>
        <v>3.8009315865112393E-8</v>
      </c>
      <c r="AD47" s="30">
        <f t="shared" si="39"/>
        <v>0</v>
      </c>
      <c r="AE47" s="30">
        <f t="shared" si="39"/>
        <v>13379.644563148266</v>
      </c>
      <c r="AF47" s="30">
        <f t="shared" si="38"/>
        <v>13379.644563148266</v>
      </c>
      <c r="AG47" s="38">
        <f>IFERROR(s_RadSpec!$G$6*AG6,".")*$B$47</f>
        <v>0</v>
      </c>
      <c r="AH47" s="38">
        <f>IFERROR(s_RadSpec!$J$6*AH6,".")*$B$47</f>
        <v>3.7370200504216442E-9</v>
      </c>
      <c r="AI47" s="47">
        <f>IFERROR(IF(AG47&gt;0.01,1-EXP(-AG47),AG47),".")</f>
        <v>0</v>
      </c>
      <c r="AJ47" s="47">
        <f>IFERROR(IF(AH47&gt;0.01,1-EXP(-AH47),AH47),".")</f>
        <v>3.7370200504216442E-9</v>
      </c>
      <c r="AK47" s="47">
        <f>IFERROR(IF(SUM(AG47:AH47)&gt;0.01,1-EXP(-SUM(AG47:AH47)),SUM(AG47:AH47)),".")</f>
        <v>3.7370200504216442E-9</v>
      </c>
    </row>
    <row r="48" spans="1:37" x14ac:dyDescent="0.25">
      <c r="A48" s="26" t="s">
        <v>33</v>
      </c>
      <c r="B48" s="26" t="s">
        <v>289</v>
      </c>
      <c r="C48" s="112"/>
      <c r="D48" s="27">
        <f>1/SUM(1/D49,1/D52,1/D54,1/D58,1/D59,1/D61)</f>
        <v>155.82469539659473</v>
      </c>
      <c r="E48" s="27">
        <f>1/SUM(1/E49,1/E50,1/E51,1/E52,1/E54,1/E58,1/E59,1/E61)</f>
        <v>7629.6119979845798</v>
      </c>
      <c r="F48" s="27">
        <f>1/SUM(1/F49,1/F50,1/F52,1/F54,1/F55,1/F56,1/F57,1/F58,1/F59,1/F60,1/F61,1/F62)</f>
        <v>16.808536667240073</v>
      </c>
      <c r="G48" s="28">
        <f>1/SUM(1/G49,1/G50,1/G51,1/G52,1/G54,1/G55,1/G56,1/G57,1/G58,1/G59,1/G60,1/G61,1/G62)</f>
        <v>15.141853033105519</v>
      </c>
      <c r="H48" s="45"/>
      <c r="I48" s="45"/>
      <c r="J48" s="45"/>
      <c r="K48" s="46">
        <f>IFERROR(IF(SUM(H49:H62)&gt;0.01,1-EXP(-SUM(H49:H62)),SUM(H49:H62)),".")</f>
        <v>3.2087340118165039E-7</v>
      </c>
      <c r="L48" s="46">
        <f>IFERROR(IF(SUM(I49:I62)&gt;0.01,1-EXP(-SUM(I49:I62)),SUM(I49:I62)),".")</f>
        <v>6.5534132028218317E-9</v>
      </c>
      <c r="M48" s="46">
        <f>IFERROR(IF(SUM(J49:J62)&gt;0.01,1-EXP(-SUM(J49:J62)),SUM(J49:J62)),".")</f>
        <v>2.9746789378429522E-6</v>
      </c>
      <c r="N48" s="46">
        <f>IFERROR(IF(SUM(H49:J62)&gt;0.01,1-EXP(-SUM(H49:J62)),SUM(H49:J62)),".")</f>
        <v>3.3021057522274243E-6</v>
      </c>
      <c r="O48" s="27">
        <f t="shared" ref="O48:S48" si="40">1/SUM(1/O49,1/O50,1/O52,1/O54,1/O55,1/O56,1/O57,1/O58,1/O59,1/O60,1/O61,1/O62)</f>
        <v>16.808536667240073</v>
      </c>
      <c r="P48" s="27">
        <f t="shared" si="40"/>
        <v>186.09808659518353</v>
      </c>
      <c r="Q48" s="27">
        <f t="shared" si="40"/>
        <v>45.883379951485615</v>
      </c>
      <c r="R48" s="27">
        <f t="shared" si="40"/>
        <v>23.703896715339845</v>
      </c>
      <c r="S48" s="27">
        <f t="shared" si="40"/>
        <v>341.22506303306892</v>
      </c>
      <c r="T48" s="45"/>
      <c r="U48" s="45"/>
      <c r="V48" s="45"/>
      <c r="W48" s="45"/>
      <c r="X48" s="45"/>
      <c r="Y48" s="46">
        <f>IFERROR(IF(SUM(T49:T62)&gt;0.01,1-EXP(-SUM(T49:T62)),SUM(T49:T62)),".")</f>
        <v>2.9746789378429522E-6</v>
      </c>
      <c r="Z48" s="46">
        <f t="shared" ref="Z48:AC48" si="41">IFERROR(IF(SUM(U49:U62)&gt;0.01,1-EXP(-SUM(U49:U62)),SUM(U49:U62)),".")</f>
        <v>2.6867551899533644E-7</v>
      </c>
      <c r="AA48" s="46">
        <f t="shared" si="41"/>
        <v>1.0897191979506979E-6</v>
      </c>
      <c r="AB48" s="46">
        <f t="shared" si="41"/>
        <v>2.1093578241776067E-6</v>
      </c>
      <c r="AC48" s="46">
        <f t="shared" si="41"/>
        <v>1.4653085431521892E-7</v>
      </c>
      <c r="AD48" s="27">
        <f>1/SUM(1/AD49,1/AD50,1/AD51,1/AD52,1/AD54,1/AD58,1/AD59,1/AD61)</f>
        <v>2.4592970622668426E-2</v>
      </c>
      <c r="AE48" s="27">
        <f t="shared" ref="AE48:AF48" si="42">1/SUM(1/AE49,1/AE50,1/AE51,1/AE52,1/AE53,1/AE54,1/AE55,1/AE56,1/AE57,1/AE58,1/AE59,1/AE60,1/AE61,1/AE62)</f>
        <v>4109.2038407422961</v>
      </c>
      <c r="AF48" s="28">
        <f t="shared" si="42"/>
        <v>2.4592823438297003E-2</v>
      </c>
      <c r="AG48" s="45"/>
      <c r="AH48" s="45"/>
      <c r="AI48" s="46">
        <f>IFERROR(IF(SUM(AG49:AG62)&gt;0.01,1-EXP(-SUM(AG49:AG62)),SUM(AG49:AG62)),".")</f>
        <v>2.0331012778876251E-3</v>
      </c>
      <c r="AJ48" s="46">
        <f>IFERROR(IF(SUM(AH49:AH62)&gt;0.01,1-EXP(-SUM(AH49:AH62)),SUM(AH49:AH62)),".")</f>
        <v>1.2167807180616258E-8</v>
      </c>
      <c r="AK48" s="46">
        <f>IFERROR(IF(SUM(AG49:AH62)&gt;0.01,1-EXP(-SUM(AG49:AH62)),SUM(AG49:AH62)),".")</f>
        <v>2.0331134456948053E-3</v>
      </c>
    </row>
    <row r="49" spans="1:37" x14ac:dyDescent="0.25">
      <c r="A49" s="29" t="s">
        <v>305</v>
      </c>
      <c r="B49" s="24">
        <v>1</v>
      </c>
      <c r="C49" s="109"/>
      <c r="D49" s="30">
        <f>IFERROR(D23/$B49,0)</f>
        <v>1234.6746015087724</v>
      </c>
      <c r="E49" s="30">
        <f>IFERROR(E23/$B49,0)</f>
        <v>16026.267160836949</v>
      </c>
      <c r="F49" s="30">
        <f>IFERROR(F23/$B49,0)</f>
        <v>7004.3407599423999</v>
      </c>
      <c r="G49" s="30">
        <f t="shared" si="20"/>
        <v>985.12833237165194</v>
      </c>
      <c r="H49" s="38">
        <f>IFERROR(s_RadSpec!$I$23*H23,".")*$B$49</f>
        <v>4.0496499999999995E-8</v>
      </c>
      <c r="I49" s="38">
        <f>IFERROR(s_RadSpec!$G$23*I23,".")*$B$49</f>
        <v>3.1198781037535641E-9</v>
      </c>
      <c r="J49" s="38">
        <f>IFERROR(s_RadSpec!$F$23*J23,".")*$B$49</f>
        <v>7.1384305409508938E-9</v>
      </c>
      <c r="K49" s="47">
        <f t="shared" ref="K49:M62" si="43">IFERROR(IF(H49&gt;0.01,1-EXP(-H49),H49),".")</f>
        <v>4.0496499999999995E-8</v>
      </c>
      <c r="L49" s="47">
        <f t="shared" si="43"/>
        <v>3.1198781037535641E-9</v>
      </c>
      <c r="M49" s="47">
        <f t="shared" si="43"/>
        <v>7.1384305409508938E-9</v>
      </c>
      <c r="N49" s="47">
        <f t="shared" ref="N49:N62" si="44">IFERROR(IF(SUM(H49:J49)&gt;0.01,1-EXP(-SUM(H49:J49)),SUM(H49:J49)),".")</f>
        <v>5.0754808644704455E-8</v>
      </c>
      <c r="O49" s="30">
        <f t="shared" ref="O49:AE49" si="45">IFERROR(O23/$B49,0)</f>
        <v>7004.3407599423999</v>
      </c>
      <c r="P49" s="30">
        <f t="shared" si="45"/>
        <v>49191.033953105143</v>
      </c>
      <c r="Q49" s="30">
        <f t="shared" si="45"/>
        <v>12722.160963188748</v>
      </c>
      <c r="R49" s="30">
        <f t="shared" si="45"/>
        <v>7422.8079282573035</v>
      </c>
      <c r="S49" s="30">
        <f t="shared" si="45"/>
        <v>78505.422140040173</v>
      </c>
      <c r="T49" s="38">
        <f>IFERROR(s_RadSpec!$F$23*T23,".")*$B$49</f>
        <v>7.1384305409508938E-9</v>
      </c>
      <c r="U49" s="38">
        <f>IFERROR(s_RadSpec!$M$23*U23,".")*$B$49</f>
        <v>1.0164453962822995E-9</v>
      </c>
      <c r="V49" s="38">
        <f>IFERROR(s_RadSpec!$N$23*V23,".")*$B$49</f>
        <v>3.9301499285124394E-9</v>
      </c>
      <c r="W49" s="38">
        <f>IFERROR(s_RadSpec!$O$23*W23,".")*$B$49</f>
        <v>6.7359953919404204E-9</v>
      </c>
      <c r="X49" s="38">
        <f>IFERROR(s_RadSpec!$K$23*X23,".")*$B$49</f>
        <v>6.3689868339041114E-10</v>
      </c>
      <c r="Y49" s="47">
        <f t="shared" ref="Y49:AC62" si="46">IFERROR(IF(T49&gt;0.01,1-EXP(-T49),T49),".")</f>
        <v>7.1384305409508938E-9</v>
      </c>
      <c r="Z49" s="47">
        <f t="shared" si="46"/>
        <v>1.0164453962822995E-9</v>
      </c>
      <c r="AA49" s="47">
        <f t="shared" si="46"/>
        <v>3.9301499285124394E-9</v>
      </c>
      <c r="AB49" s="47">
        <f t="shared" si="46"/>
        <v>6.7359953919404204E-9</v>
      </c>
      <c r="AC49" s="47">
        <f t="shared" si="46"/>
        <v>6.3689868339041114E-10</v>
      </c>
      <c r="AD49" s="30">
        <f t="shared" si="45"/>
        <v>5.1658395942232996E-2</v>
      </c>
      <c r="AE49" s="30">
        <f t="shared" si="45"/>
        <v>1118087.7643327571</v>
      </c>
      <c r="AF49" s="30">
        <f t="shared" ref="AF49:AF62" si="47">IFERROR(IF(AND(AD49&lt;&gt;0,AE49&lt;&gt;0),1/((1/AD49)+(1/AE49)),IF(AND(AD49&lt;&gt;0,AE49=0),1/((1/AD49)),IF(AND(AD49=0,AE49&lt;&gt;0),1/((1/AE49)),IF(AND(AD49=0,AE49=0),0)))),0)</f>
        <v>5.1658393555488562E-2</v>
      </c>
      <c r="AG49" s="38">
        <f>IFERROR(s_RadSpec!$G$23*AG23,".")*$B$49</f>
        <v>9.6789687499999996E-4</v>
      </c>
      <c r="AH49" s="38">
        <f>IFERROR(s_RadSpec!$J$23*AH23,".")*$B$49</f>
        <v>4.4719208630136992E-11</v>
      </c>
      <c r="AI49" s="47">
        <f t="shared" ref="AI49:AJ62" si="48">IFERROR(IF(AG49&gt;0.01,1-EXP(-AG49),AG49),".")</f>
        <v>9.6789687499999996E-4</v>
      </c>
      <c r="AJ49" s="47">
        <f t="shared" si="48"/>
        <v>4.4719208630136992E-11</v>
      </c>
      <c r="AK49" s="47">
        <f t="shared" ref="AK49:AK62" si="49">IFERROR(IF(SUM(AG49:AH49)&gt;0.01,1-EXP(-SUM(AG49:AH49)),SUM(AG49:AH49)),".")</f>
        <v>9.6789691971920855E-4</v>
      </c>
    </row>
    <row r="50" spans="1:37" x14ac:dyDescent="0.25">
      <c r="A50" s="29" t="s">
        <v>306</v>
      </c>
      <c r="B50" s="24">
        <v>1</v>
      </c>
      <c r="C50" s="109"/>
      <c r="D50" s="30">
        <f>IFERROR(D25/$B50,0)</f>
        <v>0</v>
      </c>
      <c r="E50" s="30">
        <f>IFERROR(E25/$B50,0)</f>
        <v>197917370.37179211</v>
      </c>
      <c r="F50" s="30">
        <f>IFERROR(F25/$B50,0)</f>
        <v>151122.2348689615</v>
      </c>
      <c r="G50" s="30">
        <f t="shared" si="20"/>
        <v>151006.93167474199</v>
      </c>
      <c r="H50" s="38">
        <f>IFERROR(s_RadSpec!$I$25*H25,".")*$B$50</f>
        <v>0</v>
      </c>
      <c r="I50" s="38">
        <f>IFERROR(s_RadSpec!$G$25*I25,".")*$B$50</f>
        <v>2.5263068070313339E-13</v>
      </c>
      <c r="J50" s="38">
        <f>IFERROR(s_RadSpec!$F$25*J25,".")*$B$50</f>
        <v>3.3085799745719175E-10</v>
      </c>
      <c r="K50" s="47">
        <f t="shared" si="43"/>
        <v>0</v>
      </c>
      <c r="L50" s="47">
        <f t="shared" si="43"/>
        <v>2.5263068070313339E-13</v>
      </c>
      <c r="M50" s="47">
        <f t="shared" si="43"/>
        <v>3.3085799745719175E-10</v>
      </c>
      <c r="N50" s="47">
        <f t="shared" si="44"/>
        <v>3.3111062813789487E-10</v>
      </c>
      <c r="O50" s="30">
        <f t="shared" ref="O50:AE50" si="50">IFERROR(O25/$B50,0)</f>
        <v>151122.2348689615</v>
      </c>
      <c r="P50" s="30">
        <f t="shared" si="50"/>
        <v>1284068.7702228804</v>
      </c>
      <c r="Q50" s="30">
        <f t="shared" si="50"/>
        <v>326390.11626016838</v>
      </c>
      <c r="R50" s="30">
        <f t="shared" si="50"/>
        <v>190419.32978219242</v>
      </c>
      <c r="S50" s="30">
        <f t="shared" si="50"/>
        <v>2345168.5866387296</v>
      </c>
      <c r="T50" s="38">
        <f>IFERROR(s_RadSpec!$F$25*T25,".")*$B$50</f>
        <v>3.3085799745719175E-10</v>
      </c>
      <c r="U50" s="38">
        <f>IFERROR(s_RadSpec!$M$25*U25,".")*$B$50</f>
        <v>3.8938724435546656E-11</v>
      </c>
      <c r="V50" s="38">
        <f>IFERROR(s_RadSpec!$N$25*V25,".")*$B$50</f>
        <v>1.5319091329390804E-10</v>
      </c>
      <c r="W50" s="38">
        <f>IFERROR(s_RadSpec!$O$25*W25,".")*$B$50</f>
        <v>2.6257838454316364E-10</v>
      </c>
      <c r="X50" s="38">
        <f>IFERROR(s_RadSpec!$K$25*X25,".")*$B$50</f>
        <v>2.1320428853118714E-11</v>
      </c>
      <c r="Y50" s="47">
        <f t="shared" si="46"/>
        <v>3.3085799745719175E-10</v>
      </c>
      <c r="Z50" s="47">
        <f t="shared" si="46"/>
        <v>3.8938724435546656E-11</v>
      </c>
      <c r="AA50" s="47">
        <f t="shared" si="46"/>
        <v>1.5319091329390804E-10</v>
      </c>
      <c r="AB50" s="47">
        <f t="shared" si="46"/>
        <v>2.6257838454316364E-10</v>
      </c>
      <c r="AC50" s="47">
        <f t="shared" si="46"/>
        <v>2.1320428853118714E-11</v>
      </c>
      <c r="AD50" s="30">
        <f t="shared" si="50"/>
        <v>637.95853269537486</v>
      </c>
      <c r="AE50" s="30">
        <f t="shared" si="50"/>
        <v>19626864.352316026</v>
      </c>
      <c r="AF50" s="30">
        <f t="shared" si="47"/>
        <v>637.93779693985209</v>
      </c>
      <c r="AG50" s="38">
        <f>IFERROR(s_RadSpec!$G$25*AG$25,".")*$B$50</f>
        <v>7.8374999999999999E-8</v>
      </c>
      <c r="AH50" s="38">
        <f>IFERROR(s_RadSpec!$J$25*AH25,".")*$B$50</f>
        <v>2.5475286883561649E-12</v>
      </c>
      <c r="AI50" s="47">
        <f t="shared" si="48"/>
        <v>7.8374999999999999E-8</v>
      </c>
      <c r="AJ50" s="47">
        <f t="shared" si="48"/>
        <v>2.5475286883561649E-12</v>
      </c>
      <c r="AK50" s="47">
        <f t="shared" si="49"/>
        <v>7.8377547528688359E-8</v>
      </c>
    </row>
    <row r="51" spans="1:37" x14ac:dyDescent="0.25">
      <c r="A51" s="29" t="s">
        <v>307</v>
      </c>
      <c r="B51" s="24">
        <v>1</v>
      </c>
      <c r="C51" s="109"/>
      <c r="D51" s="30">
        <f>IFERROR(D21/$B51,0)</f>
        <v>0</v>
      </c>
      <c r="E51" s="30">
        <f>IFERROR(E21/$B51,0)</f>
        <v>32464144.20486949</v>
      </c>
      <c r="F51" s="30">
        <f>IFERROR(F21/$B51,0)</f>
        <v>0</v>
      </c>
      <c r="G51" s="30">
        <f t="shared" si="20"/>
        <v>32464144.204869494</v>
      </c>
      <c r="H51" s="38">
        <f>IFERROR(s_RadSpec!$I$21*H21,".")*$B$51</f>
        <v>0</v>
      </c>
      <c r="I51" s="38">
        <f>IFERROR(s_RadSpec!$G$21*I21,".")*$B$51</f>
        <v>1.5401607288480501E-12</v>
      </c>
      <c r="J51" s="38">
        <f>IFERROR(s_RadSpec!$F$21*J21,".")*$B$51</f>
        <v>0</v>
      </c>
      <c r="K51" s="47">
        <f t="shared" si="43"/>
        <v>0</v>
      </c>
      <c r="L51" s="47">
        <f t="shared" si="43"/>
        <v>1.5401607288480501E-12</v>
      </c>
      <c r="M51" s="47">
        <f t="shared" si="43"/>
        <v>0</v>
      </c>
      <c r="N51" s="47">
        <f t="shared" si="44"/>
        <v>1.5401607288480501E-12</v>
      </c>
      <c r="O51" s="30">
        <f t="shared" ref="O51:AE51" si="51">IFERROR(O21/$B51,0)</f>
        <v>0</v>
      </c>
      <c r="P51" s="30">
        <f t="shared" si="51"/>
        <v>0</v>
      </c>
      <c r="Q51" s="30">
        <f t="shared" si="51"/>
        <v>0</v>
      </c>
      <c r="R51" s="30">
        <f t="shared" si="51"/>
        <v>0</v>
      </c>
      <c r="S51" s="30">
        <f t="shared" si="51"/>
        <v>0</v>
      </c>
      <c r="T51" s="38">
        <f>IFERROR(s_RadSpec!$F$21*T21,".")*$B$51</f>
        <v>0</v>
      </c>
      <c r="U51" s="38">
        <f>IFERROR(s_RadSpec!$M$21*U21,".")*$B$51</f>
        <v>0</v>
      </c>
      <c r="V51" s="38">
        <f>IFERROR(s_RadSpec!$N$21*V21,".")*$B$51</f>
        <v>0</v>
      </c>
      <c r="W51" s="38">
        <f>IFERROR(s_RadSpec!$O$21*W21,".")*$B$51</f>
        <v>0</v>
      </c>
      <c r="X51" s="38">
        <f>IFERROR(s_RadSpec!$K$21*X21,".")*$B$51</f>
        <v>0</v>
      </c>
      <c r="Y51" s="47">
        <f t="shared" si="46"/>
        <v>0</v>
      </c>
      <c r="Z51" s="47">
        <f t="shared" si="46"/>
        <v>0</v>
      </c>
      <c r="AA51" s="47">
        <f t="shared" si="46"/>
        <v>0</v>
      </c>
      <c r="AB51" s="47">
        <f t="shared" si="46"/>
        <v>0</v>
      </c>
      <c r="AC51" s="47">
        <f t="shared" si="46"/>
        <v>0</v>
      </c>
      <c r="AD51" s="30">
        <f t="shared" si="51"/>
        <v>104.64355788096796</v>
      </c>
      <c r="AE51" s="30">
        <f t="shared" si="51"/>
        <v>807140279577.49329</v>
      </c>
      <c r="AF51" s="30">
        <f t="shared" si="47"/>
        <v>104.64355786740121</v>
      </c>
      <c r="AG51" s="38">
        <f>IFERROR(s_RadSpec!$G$21*AG21,".")*$B$51</f>
        <v>4.7781250000000003E-7</v>
      </c>
      <c r="AH51" s="38">
        <f>IFERROR(s_RadSpec!$J$21*AH21,".")*$B$51</f>
        <v>6.1947100479452062E-17</v>
      </c>
      <c r="AI51" s="47">
        <f t="shared" si="48"/>
        <v>4.7781250000000003E-7</v>
      </c>
      <c r="AJ51" s="47">
        <f t="shared" si="48"/>
        <v>6.1947100479452062E-17</v>
      </c>
      <c r="AK51" s="47">
        <f t="shared" si="49"/>
        <v>4.7781250006194715E-7</v>
      </c>
    </row>
    <row r="52" spans="1:37" x14ac:dyDescent="0.25">
      <c r="A52" s="29" t="s">
        <v>308</v>
      </c>
      <c r="B52" s="32">
        <v>0.99980000000000002</v>
      </c>
      <c r="C52" s="109"/>
      <c r="D52" s="30">
        <f>IFERROR(D17/$B52,0)</f>
        <v>1649324.8025460506</v>
      </c>
      <c r="E52" s="30">
        <f>IFERROR(E17/$B52,0)</f>
        <v>5808775.7119980734</v>
      </c>
      <c r="F52" s="30">
        <f>IFERROR(F17/$B52,0)</f>
        <v>353.95758981883785</v>
      </c>
      <c r="G52" s="30">
        <f t="shared" si="20"/>
        <v>353.8600863104852</v>
      </c>
      <c r="H52" s="38">
        <f>IFERROR(s_RadSpec!$I$17*H17,".")*$B$52</f>
        <v>3.0315435699999997E-11</v>
      </c>
      <c r="I52" s="38">
        <f>IFERROR(s_RadSpec!$G$17*I17,".")*$B$52</f>
        <v>8.6076657937962001E-12</v>
      </c>
      <c r="J52" s="38">
        <f>IFERROR(s_RadSpec!$F$17*J17,".")*$B$52</f>
        <v>1.4125986117599842E-7</v>
      </c>
      <c r="K52" s="47">
        <f t="shared" si="43"/>
        <v>3.0315435699999997E-11</v>
      </c>
      <c r="L52" s="47">
        <f t="shared" si="43"/>
        <v>8.6076657937962001E-12</v>
      </c>
      <c r="M52" s="47">
        <f t="shared" si="43"/>
        <v>1.4125986117599842E-7</v>
      </c>
      <c r="N52" s="47">
        <f t="shared" si="44"/>
        <v>1.4129878427749221E-7</v>
      </c>
      <c r="O52" s="30">
        <f t="shared" ref="O52:AE52" si="52">IFERROR(O17/$B52,0)</f>
        <v>353.95758981883785</v>
      </c>
      <c r="P52" s="30">
        <f t="shared" si="52"/>
        <v>2719.2215430932952</v>
      </c>
      <c r="Q52" s="30">
        <f t="shared" si="52"/>
        <v>735.58691260493879</v>
      </c>
      <c r="R52" s="30">
        <f t="shared" si="52"/>
        <v>442.52761961428757</v>
      </c>
      <c r="S52" s="30">
        <f t="shared" si="52"/>
        <v>5281.3254696956492</v>
      </c>
      <c r="T52" s="38">
        <f>IFERROR(s_RadSpec!$F$17*T17,".")*$B$52</f>
        <v>1.4125986117599842E-7</v>
      </c>
      <c r="U52" s="38">
        <f>IFERROR(s_RadSpec!$M$17*U17,".")*$B$52</f>
        <v>1.838761542876043E-8</v>
      </c>
      <c r="V52" s="38">
        <f>IFERROR(s_RadSpec!$N$17*V17,".")*$B$52</f>
        <v>6.797293310036564E-8</v>
      </c>
      <c r="W52" s="38">
        <f>IFERROR(s_RadSpec!$O$17*W17,".")*$B$52</f>
        <v>1.1298729793087404E-7</v>
      </c>
      <c r="X52" s="38">
        <f>IFERROR(s_RadSpec!$K$17*X17,".")*$B$52</f>
        <v>9.4673203321592296E-9</v>
      </c>
      <c r="Y52" s="47">
        <f t="shared" si="46"/>
        <v>1.4125986117599842E-7</v>
      </c>
      <c r="Z52" s="47">
        <f t="shared" si="46"/>
        <v>1.838761542876043E-8</v>
      </c>
      <c r="AA52" s="47">
        <f t="shared" si="46"/>
        <v>6.797293310036564E-8</v>
      </c>
      <c r="AB52" s="47">
        <f t="shared" si="46"/>
        <v>1.1298729793087404E-7</v>
      </c>
      <c r="AC52" s="47">
        <f t="shared" si="46"/>
        <v>9.4673203321592296E-9</v>
      </c>
      <c r="AD52" s="30">
        <f t="shared" si="52"/>
        <v>18.723763472713259</v>
      </c>
      <c r="AE52" s="30">
        <f t="shared" si="52"/>
        <v>31256.35602460615</v>
      </c>
      <c r="AF52" s="30">
        <f t="shared" si="47"/>
        <v>18.712553930772593</v>
      </c>
      <c r="AG52" s="38">
        <f>IFERROR(s_RadSpec!$G$17*AG17,".")*$B$52</f>
        <v>2.6704033125000002E-6</v>
      </c>
      <c r="AH52" s="38">
        <f>IFERROR(s_RadSpec!$J$17*AH17,".")*$B$52</f>
        <v>1.599674637716507E-9</v>
      </c>
      <c r="AI52" s="47">
        <f t="shared" si="48"/>
        <v>2.6704033125000002E-6</v>
      </c>
      <c r="AJ52" s="47">
        <f t="shared" si="48"/>
        <v>1.599674637716507E-9</v>
      </c>
      <c r="AK52" s="47">
        <f t="shared" si="49"/>
        <v>2.6720029871377169E-6</v>
      </c>
    </row>
    <row r="53" spans="1:37" x14ac:dyDescent="0.25">
      <c r="A53" s="29" t="s">
        <v>309</v>
      </c>
      <c r="B53" s="24">
        <v>2.0000000000000001E-4</v>
      </c>
      <c r="C53" s="109"/>
      <c r="D53" s="30">
        <f>IFERROR(D5/$B53,0)</f>
        <v>0</v>
      </c>
      <c r="E53" s="30">
        <f>IFERROR(E5/$B53,0)</f>
        <v>0</v>
      </c>
      <c r="F53" s="30">
        <f>IFERROR(F5/$B53,0)</f>
        <v>0</v>
      </c>
      <c r="G53" s="30">
        <f t="shared" si="20"/>
        <v>0</v>
      </c>
      <c r="H53" s="38">
        <f>IFERROR(s_RadSpec!$I$5*H5,".")*$B$53</f>
        <v>0</v>
      </c>
      <c r="I53" s="38">
        <f>IFERROR(s_RadSpec!$G$5*I5,".")*$B$53</f>
        <v>0</v>
      </c>
      <c r="J53" s="38">
        <f>IFERROR(s_RadSpec!$F$5*J5,".")*$B$53</f>
        <v>0</v>
      </c>
      <c r="K53" s="47">
        <f t="shared" si="43"/>
        <v>0</v>
      </c>
      <c r="L53" s="47">
        <f t="shared" si="43"/>
        <v>0</v>
      </c>
      <c r="M53" s="47">
        <f t="shared" si="43"/>
        <v>0</v>
      </c>
      <c r="N53" s="47">
        <f t="shared" si="44"/>
        <v>0</v>
      </c>
      <c r="O53" s="30">
        <f t="shared" ref="O53:AE53" si="53">IFERROR(O5/$B53,0)</f>
        <v>0</v>
      </c>
      <c r="P53" s="30">
        <f t="shared" si="53"/>
        <v>0</v>
      </c>
      <c r="Q53" s="30">
        <f t="shared" si="53"/>
        <v>0</v>
      </c>
      <c r="R53" s="30">
        <f t="shared" si="53"/>
        <v>0</v>
      </c>
      <c r="S53" s="30">
        <f t="shared" si="53"/>
        <v>0</v>
      </c>
      <c r="T53" s="38">
        <f>IFERROR(s_RadSpec!$F$5*T5,".")*$B$53</f>
        <v>0</v>
      </c>
      <c r="U53" s="38">
        <f>IFERROR(s_RadSpec!$M$5*U5,".")*$B$53</f>
        <v>0</v>
      </c>
      <c r="V53" s="38">
        <f>IFERROR(s_RadSpec!$N$5*V5,".")*$B$53</f>
        <v>0</v>
      </c>
      <c r="W53" s="38">
        <f>IFERROR(s_RadSpec!$O$5*W5,".")*$B$53</f>
        <v>0</v>
      </c>
      <c r="X53" s="38">
        <f>IFERROR(s_RadSpec!$K$5*X5,".")*$B$53</f>
        <v>0</v>
      </c>
      <c r="Y53" s="47">
        <f t="shared" si="46"/>
        <v>0</v>
      </c>
      <c r="Z53" s="47">
        <f t="shared" si="46"/>
        <v>0</v>
      </c>
      <c r="AA53" s="47">
        <f t="shared" si="46"/>
        <v>0</v>
      </c>
      <c r="AB53" s="47">
        <f t="shared" si="46"/>
        <v>0</v>
      </c>
      <c r="AC53" s="47">
        <f t="shared" si="46"/>
        <v>0</v>
      </c>
      <c r="AD53" s="30">
        <f t="shared" si="53"/>
        <v>0</v>
      </c>
      <c r="AE53" s="30">
        <f t="shared" si="53"/>
        <v>5166920729113.499</v>
      </c>
      <c r="AF53" s="30">
        <f t="shared" si="47"/>
        <v>5166920729113.499</v>
      </c>
      <c r="AG53" s="38">
        <f>IFERROR(s_RadSpec!$G$5*AG5,".")*$B$53</f>
        <v>0</v>
      </c>
      <c r="AH53" s="38">
        <f>IFERROR(s_RadSpec!$J$5*AH5,".")*$B$53</f>
        <v>9.6769435068493164E-18</v>
      </c>
      <c r="AI53" s="47">
        <f t="shared" si="48"/>
        <v>0</v>
      </c>
      <c r="AJ53" s="47">
        <f t="shared" si="48"/>
        <v>9.6769435068493164E-18</v>
      </c>
      <c r="AK53" s="47">
        <f t="shared" si="49"/>
        <v>9.6769435068493164E-18</v>
      </c>
    </row>
    <row r="54" spans="1:37" x14ac:dyDescent="0.25">
      <c r="A54" s="29" t="s">
        <v>310</v>
      </c>
      <c r="B54" s="24">
        <v>0.99999979999999999</v>
      </c>
      <c r="C54" s="109"/>
      <c r="D54" s="30">
        <f>IFERROR(D9/$B54,0)</f>
        <v>2469349.6968874843</v>
      </c>
      <c r="E54" s="30">
        <f>IFERROR(E9/$B54,0)</f>
        <v>7301807.3575732186</v>
      </c>
      <c r="F54" s="30">
        <f>IFERROR(F9/$B54,0)</f>
        <v>17.702048926630678</v>
      </c>
      <c r="G54" s="30">
        <f t="shared" si="20"/>
        <v>17.701879111676025</v>
      </c>
      <c r="H54" s="38">
        <f>IFERROR(s_RadSpec!$I$9*H9,".")*$B$54</f>
        <v>2.0248245950349999E-11</v>
      </c>
      <c r="I54" s="38">
        <f>IFERROR(s_RadSpec!$G$9*I9,".")*$B$54</f>
        <v>6.8476197126922933E-12</v>
      </c>
      <c r="J54" s="38">
        <f>IFERROR(s_RadSpec!$F$9*J9,".")*$B$54</f>
        <v>2.8245317933101414E-6</v>
      </c>
      <c r="K54" s="47">
        <f t="shared" si="43"/>
        <v>2.0248245950349999E-11</v>
      </c>
      <c r="L54" s="47">
        <f t="shared" si="43"/>
        <v>6.8476197126922933E-12</v>
      </c>
      <c r="M54" s="47">
        <f t="shared" si="43"/>
        <v>2.8245317933101414E-6</v>
      </c>
      <c r="N54" s="47">
        <f t="shared" si="44"/>
        <v>2.8245588891758045E-6</v>
      </c>
      <c r="O54" s="30">
        <f t="shared" ref="O54:AE54" si="54">IFERROR(O9/$B54,0)</f>
        <v>17.702048926630678</v>
      </c>
      <c r="P54" s="30">
        <f t="shared" si="54"/>
        <v>200.75264902486708</v>
      </c>
      <c r="Q54" s="30">
        <f t="shared" si="54"/>
        <v>49.16175466002435</v>
      </c>
      <c r="R54" s="30">
        <f t="shared" si="54"/>
        <v>25.146995650179655</v>
      </c>
      <c r="S54" s="30">
        <f t="shared" si="54"/>
        <v>367.22650879724722</v>
      </c>
      <c r="T54" s="38">
        <f>IFERROR(s_RadSpec!$F$9*T9,".")*$B$54</f>
        <v>2.8245317933101414E-6</v>
      </c>
      <c r="U54" s="38">
        <f>IFERROR(s_RadSpec!$M$9*U9,".")*$B$54</f>
        <v>2.4906271594855285E-7</v>
      </c>
      <c r="V54" s="38">
        <f>IFERROR(s_RadSpec!$N$9*V9,".")*$B$54</f>
        <v>1.0170507612222654E-6</v>
      </c>
      <c r="W54" s="38">
        <f>IFERROR(s_RadSpec!$O$9*W9,".")*$B$54</f>
        <v>1.9883090885110476E-6</v>
      </c>
      <c r="X54" s="38">
        <f>IFERROR(s_RadSpec!$K$9*X9,".")*$B$54</f>
        <v>1.3615574802527661E-7</v>
      </c>
      <c r="Y54" s="47">
        <f t="shared" si="46"/>
        <v>2.8245317933101414E-6</v>
      </c>
      <c r="Z54" s="47">
        <f t="shared" si="46"/>
        <v>2.4906271594855285E-7</v>
      </c>
      <c r="AA54" s="47">
        <f t="shared" si="46"/>
        <v>1.0170507612222654E-6</v>
      </c>
      <c r="AB54" s="47">
        <f t="shared" si="46"/>
        <v>1.9883090885110476E-6</v>
      </c>
      <c r="AC54" s="47">
        <f t="shared" si="46"/>
        <v>1.3615574802527661E-7</v>
      </c>
      <c r="AD54" s="30">
        <f t="shared" si="54"/>
        <v>23.536338923213652</v>
      </c>
      <c r="AE54" s="30">
        <f t="shared" si="54"/>
        <v>4761.142566490169</v>
      </c>
      <c r="AF54" s="30">
        <f t="shared" si="47"/>
        <v>23.420561195834367</v>
      </c>
      <c r="AG54" s="38">
        <f>IFERROR(s_RadSpec!$G$9*AG9,".")*$B$54</f>
        <v>2.1243745751249998E-6</v>
      </c>
      <c r="AH54" s="38">
        <f>IFERROR(s_RadSpec!$J$9*AH9,".")*$B$54</f>
        <v>1.050168090993737E-8</v>
      </c>
      <c r="AI54" s="47">
        <f t="shared" si="48"/>
        <v>2.1243745751249998E-6</v>
      </c>
      <c r="AJ54" s="47">
        <f t="shared" si="48"/>
        <v>1.050168090993737E-8</v>
      </c>
      <c r="AK54" s="47">
        <f t="shared" si="49"/>
        <v>2.1348762560349371E-6</v>
      </c>
    </row>
    <row r="55" spans="1:37" x14ac:dyDescent="0.25">
      <c r="A55" s="29" t="s">
        <v>311</v>
      </c>
      <c r="B55" s="24">
        <v>1.9999999999999999E-7</v>
      </c>
      <c r="C55" s="109"/>
      <c r="D55" s="30">
        <f>IFERROR(D24/$B55,0)</f>
        <v>0</v>
      </c>
      <c r="E55" s="30">
        <f>IFERROR(E24/$B55,0)</f>
        <v>0</v>
      </c>
      <c r="F55" s="30">
        <f>IFERROR(F24/$B55,0)</f>
        <v>338789087917.6972</v>
      </c>
      <c r="G55" s="30">
        <f t="shared" si="20"/>
        <v>338789087917.6972</v>
      </c>
      <c r="H55" s="38">
        <f>IFERROR(s_RadSpec!$I$24*H24,".")*$B$55</f>
        <v>0</v>
      </c>
      <c r="I55" s="38">
        <f>IFERROR(s_RadSpec!$G$24*I24,".")*$B$55</f>
        <v>0</v>
      </c>
      <c r="J55" s="38">
        <f>IFERROR(s_RadSpec!$F$24*J24,".")*$B$55</f>
        <v>1.4758444643927444E-16</v>
      </c>
      <c r="K55" s="47">
        <f t="shared" si="43"/>
        <v>0</v>
      </c>
      <c r="L55" s="47">
        <f t="shared" si="43"/>
        <v>0</v>
      </c>
      <c r="M55" s="47">
        <f t="shared" si="43"/>
        <v>1.4758444643927444E-16</v>
      </c>
      <c r="N55" s="47">
        <f t="shared" si="44"/>
        <v>1.4758444643927444E-16</v>
      </c>
      <c r="O55" s="30">
        <f t="shared" ref="O55:AE55" si="55">IFERROR(O24/$B55,0)</f>
        <v>338789087917.6972</v>
      </c>
      <c r="P55" s="30">
        <f t="shared" si="55"/>
        <v>2984695188693.2773</v>
      </c>
      <c r="Q55" s="30">
        <f t="shared" si="55"/>
        <v>748624381200.15112</v>
      </c>
      <c r="R55" s="30">
        <f t="shared" si="55"/>
        <v>403943010259.75562</v>
      </c>
      <c r="S55" s="30">
        <f t="shared" si="55"/>
        <v>5078002126476.877</v>
      </c>
      <c r="T55" s="38">
        <f>IFERROR(s_RadSpec!$F$24*T24,".")*$B$55</f>
        <v>1.4758444643927444E-16</v>
      </c>
      <c r="U55" s="38">
        <f>IFERROR(s_RadSpec!$M$24*U24,".")*$B$55</f>
        <v>1.6752129393115818E-17</v>
      </c>
      <c r="V55" s="38">
        <f>IFERROR(s_RadSpec!$N$24*V24,".")*$B$55</f>
        <v>6.6789168581235497E-17</v>
      </c>
      <c r="W55" s="38">
        <f>IFERROR(s_RadSpec!$O$24*W24,".")*$B$55</f>
        <v>1.2377983708109592E-16</v>
      </c>
      <c r="X55" s="38">
        <f>IFERROR(s_RadSpec!$K$24*X24,".")*$B$55</f>
        <v>9.8463920956823346E-18</v>
      </c>
      <c r="Y55" s="47">
        <f t="shared" si="46"/>
        <v>1.4758444643927444E-16</v>
      </c>
      <c r="Z55" s="47">
        <f t="shared" si="46"/>
        <v>1.6752129393115818E-17</v>
      </c>
      <c r="AA55" s="47">
        <f t="shared" si="46"/>
        <v>6.6789168581235497E-17</v>
      </c>
      <c r="AB55" s="47">
        <f t="shared" si="46"/>
        <v>1.2377983708109592E-16</v>
      </c>
      <c r="AC55" s="47">
        <f t="shared" si="46"/>
        <v>9.8463920956823346E-18</v>
      </c>
      <c r="AD55" s="30">
        <f t="shared" si="55"/>
        <v>0</v>
      </c>
      <c r="AE55" s="30">
        <f t="shared" si="55"/>
        <v>49965826830987.688</v>
      </c>
      <c r="AF55" s="30">
        <f t="shared" si="47"/>
        <v>49965826830987.695</v>
      </c>
      <c r="AG55" s="38">
        <f>IFERROR(s_RadSpec!$G$24*AG24,".")*$B$55</f>
        <v>0</v>
      </c>
      <c r="AH55" s="38">
        <f>IFERROR(s_RadSpec!$J$24*AH24,".")*$B$55</f>
        <v>1.0006839308219179E-18</v>
      </c>
      <c r="AI55" s="47">
        <f t="shared" si="48"/>
        <v>0</v>
      </c>
      <c r="AJ55" s="47">
        <f t="shared" si="48"/>
        <v>1.0006839308219179E-18</v>
      </c>
      <c r="AK55" s="47">
        <f t="shared" si="49"/>
        <v>1.0006839308219179E-18</v>
      </c>
    </row>
    <row r="56" spans="1:37" x14ac:dyDescent="0.25">
      <c r="A56" s="29" t="s">
        <v>312</v>
      </c>
      <c r="B56" s="24">
        <v>0.99979000004200003</v>
      </c>
      <c r="C56" s="109"/>
      <c r="D56" s="30">
        <f>IFERROR(D20/$B56,0)</f>
        <v>0</v>
      </c>
      <c r="E56" s="30">
        <f>IFERROR(E20/$B56,0)</f>
        <v>0</v>
      </c>
      <c r="F56" s="30">
        <f>IFERROR(F20/$B56,0)</f>
        <v>466458.00103321346</v>
      </c>
      <c r="G56" s="30">
        <f t="shared" si="20"/>
        <v>466458.00103321346</v>
      </c>
      <c r="H56" s="38">
        <f>IFERROR(s_RadSpec!$I$20*H20,".")*$B$56</f>
        <v>0</v>
      </c>
      <c r="I56" s="38">
        <f>IFERROR(s_RadSpec!$G$20*I20,".")*$B$56</f>
        <v>0</v>
      </c>
      <c r="J56" s="38">
        <f>IFERROR(s_RadSpec!$F$20*J20,".")*$B$56</f>
        <v>1.0719078650006869E-10</v>
      </c>
      <c r="K56" s="47">
        <f t="shared" si="43"/>
        <v>0</v>
      </c>
      <c r="L56" s="47">
        <f t="shared" si="43"/>
        <v>0</v>
      </c>
      <c r="M56" s="47">
        <f t="shared" si="43"/>
        <v>1.0719078650006869E-10</v>
      </c>
      <c r="N56" s="47">
        <f t="shared" si="44"/>
        <v>1.0719078650006869E-10</v>
      </c>
      <c r="O56" s="30">
        <f t="shared" ref="O56:AE56" si="56">IFERROR(O20/$B56,0)</f>
        <v>466458.00103321346</v>
      </c>
      <c r="P56" s="30">
        <f t="shared" si="56"/>
        <v>4650226.5246433476</v>
      </c>
      <c r="Q56" s="30">
        <f t="shared" si="56"/>
        <v>1154344.3907067061</v>
      </c>
      <c r="R56" s="30">
        <f t="shared" si="56"/>
        <v>617117.21133585006</v>
      </c>
      <c r="S56" s="30">
        <f t="shared" si="56"/>
        <v>8133116.150045583</v>
      </c>
      <c r="T56" s="38">
        <f>IFERROR(s_RadSpec!$F$20*T20,".")*$B$56</f>
        <v>1.0719078650006869E-10</v>
      </c>
      <c r="U56" s="38">
        <f>IFERROR(s_RadSpec!$M$20*U20,".")*$B$56</f>
        <v>1.0752164380601825E-11</v>
      </c>
      <c r="V56" s="38">
        <f>IFERROR(s_RadSpec!$N$20*V20,".")*$B$56</f>
        <v>4.3314629847500983E-11</v>
      </c>
      <c r="W56" s="38">
        <f>IFERROR(s_RadSpec!$O$20*W20,".")*$B$56</f>
        <v>8.1021885440153096E-11</v>
      </c>
      <c r="X56" s="38">
        <f>IFERROR(s_RadSpec!$K$20*X20,".")*$B$56</f>
        <v>6.1477051449363318E-12</v>
      </c>
      <c r="Y56" s="47">
        <f t="shared" si="46"/>
        <v>1.0719078650006869E-10</v>
      </c>
      <c r="Z56" s="47">
        <f t="shared" si="46"/>
        <v>1.0752164380601825E-11</v>
      </c>
      <c r="AA56" s="47">
        <f t="shared" si="46"/>
        <v>4.3314629847500983E-11</v>
      </c>
      <c r="AB56" s="47">
        <f t="shared" si="46"/>
        <v>8.1021885440153096E-11</v>
      </c>
      <c r="AC56" s="47">
        <f t="shared" si="46"/>
        <v>6.1477051449363318E-12</v>
      </c>
      <c r="AD56" s="30">
        <f t="shared" si="56"/>
        <v>0</v>
      </c>
      <c r="AE56" s="30">
        <f t="shared" si="56"/>
        <v>89173437.038030326</v>
      </c>
      <c r="AF56" s="30">
        <f t="shared" si="47"/>
        <v>89173437.038030326</v>
      </c>
      <c r="AG56" s="38">
        <f>IFERROR(s_RadSpec!$G$20*AG20,".")*$B$56</f>
        <v>0</v>
      </c>
      <c r="AH56" s="38">
        <f>IFERROR(s_RadSpec!$J$20*AH20,".")*$B$56</f>
        <v>5.6070508955123276E-13</v>
      </c>
      <c r="AI56" s="47">
        <f t="shared" si="48"/>
        <v>0</v>
      </c>
      <c r="AJ56" s="47">
        <f t="shared" si="48"/>
        <v>5.6070508955123276E-13</v>
      </c>
      <c r="AK56" s="47">
        <f t="shared" si="49"/>
        <v>5.6070508955123276E-13</v>
      </c>
    </row>
    <row r="57" spans="1:37" x14ac:dyDescent="0.25">
      <c r="A57" s="29" t="s">
        <v>313</v>
      </c>
      <c r="B57" s="24">
        <v>2.0999995799999999E-4</v>
      </c>
      <c r="C57" s="109"/>
      <c r="D57" s="30">
        <f>IFERROR(D29/$B57,0)</f>
        <v>0</v>
      </c>
      <c r="E57" s="30">
        <f>IFERROR(E29/$B57,0)</f>
        <v>0</v>
      </c>
      <c r="F57" s="30">
        <f>IFERROR(F29/$B57,0)</f>
        <v>50155.775856986278</v>
      </c>
      <c r="G57" s="30">
        <f t="shared" si="20"/>
        <v>50155.775856986278</v>
      </c>
      <c r="H57" s="38">
        <f>IFERROR(s_RadSpec!$I$29*H29,".")*$B$57</f>
        <v>0</v>
      </c>
      <c r="I57" s="38">
        <f>IFERROR(s_RadSpec!$G$29*I29,".")*$B$57</f>
        <v>0</v>
      </c>
      <c r="J57" s="38">
        <f>IFERROR(s_RadSpec!$F$29*J29,".")*$B$57</f>
        <v>9.9689415916064306E-10</v>
      </c>
      <c r="K57" s="47">
        <f t="shared" si="43"/>
        <v>0</v>
      </c>
      <c r="L57" s="47">
        <f t="shared" si="43"/>
        <v>0</v>
      </c>
      <c r="M57" s="47">
        <f t="shared" si="43"/>
        <v>9.9689415916064306E-10</v>
      </c>
      <c r="N57" s="47">
        <f t="shared" si="44"/>
        <v>9.9689415916064306E-10</v>
      </c>
      <c r="O57" s="30">
        <f t="shared" ref="O57:AE57" si="57">IFERROR(O29/$B57,0)</f>
        <v>50155.775856986278</v>
      </c>
      <c r="P57" s="30">
        <f t="shared" si="57"/>
        <v>540868.15517507214</v>
      </c>
      <c r="Q57" s="30">
        <f t="shared" si="57"/>
        <v>134505.29938105785</v>
      </c>
      <c r="R57" s="30">
        <f t="shared" si="57"/>
        <v>71482.471592213566</v>
      </c>
      <c r="S57" s="30">
        <f t="shared" si="57"/>
        <v>1003285.7791257967</v>
      </c>
      <c r="T57" s="38">
        <f>IFERROR(s_RadSpec!$F$29*T29,".")*$B$57</f>
        <v>9.9689415916064306E-10</v>
      </c>
      <c r="U57" s="38">
        <f>IFERROR(s_RadSpec!$M$29*U29,".")*$B$57</f>
        <v>9.2443970904176533E-11</v>
      </c>
      <c r="V57" s="38">
        <f>IFERROR(s_RadSpec!$N$29*V29,".")*$B$57</f>
        <v>3.7173256540880524E-10</v>
      </c>
      <c r="W57" s="38">
        <f>IFERROR(s_RadSpec!$O$29*W29,".")*$B$57</f>
        <v>6.9947217669298398E-10</v>
      </c>
      <c r="X57" s="38">
        <f>IFERROR(s_RadSpec!$K$29*X29,".")*$B$57</f>
        <v>4.9836249093022152E-11</v>
      </c>
      <c r="Y57" s="47">
        <f t="shared" si="46"/>
        <v>9.9689415916064306E-10</v>
      </c>
      <c r="Z57" s="47">
        <f t="shared" si="46"/>
        <v>9.2443970904176533E-11</v>
      </c>
      <c r="AA57" s="47">
        <f t="shared" si="46"/>
        <v>3.7173256540880524E-10</v>
      </c>
      <c r="AB57" s="47">
        <f t="shared" si="46"/>
        <v>6.9947217669298398E-10</v>
      </c>
      <c r="AC57" s="47">
        <f t="shared" si="46"/>
        <v>4.9836249093022152E-11</v>
      </c>
      <c r="AD57" s="30">
        <f t="shared" si="57"/>
        <v>0</v>
      </c>
      <c r="AE57" s="30">
        <f t="shared" si="57"/>
        <v>12255771.296490857</v>
      </c>
      <c r="AF57" s="30">
        <f t="shared" si="47"/>
        <v>12255771.296490857</v>
      </c>
      <c r="AG57" s="38">
        <f>IFERROR(s_RadSpec!$G$29*AG29,".")*$B$57</f>
        <v>0</v>
      </c>
      <c r="AH57" s="38">
        <f>IFERROR(s_RadSpec!$J$29*AH29,".")*$B$57</f>
        <v>4.0797105943316913E-12</v>
      </c>
      <c r="AI57" s="47">
        <f t="shared" si="48"/>
        <v>0</v>
      </c>
      <c r="AJ57" s="47">
        <f t="shared" si="48"/>
        <v>4.0797105943316913E-12</v>
      </c>
      <c r="AK57" s="47">
        <f t="shared" si="49"/>
        <v>4.0797105943316913E-12</v>
      </c>
    </row>
    <row r="58" spans="1:37" x14ac:dyDescent="0.25">
      <c r="A58" s="29" t="s">
        <v>314</v>
      </c>
      <c r="B58" s="24">
        <v>1</v>
      </c>
      <c r="C58" s="109"/>
      <c r="D58" s="30">
        <f>IFERROR(D16/$B58,0)</f>
        <v>606.6672733339401</v>
      </c>
      <c r="E58" s="30">
        <f>IFERROR(E16/$B58,0)</f>
        <v>28428.879509083727</v>
      </c>
      <c r="F58" s="30">
        <f>IFERROR(F16/$B58,0)</f>
        <v>2579238396.942708</v>
      </c>
      <c r="G58" s="30">
        <f t="shared" si="20"/>
        <v>593.99146064134425</v>
      </c>
      <c r="H58" s="38">
        <f>IFERROR(s_RadSpec!$I$16*H16,".")*$B$58</f>
        <v>8.2417500000000003E-8</v>
      </c>
      <c r="I58" s="38">
        <f>IFERROR(s_RadSpec!$G$16*I16,".")*$B$58</f>
        <v>1.7587749100003667E-9</v>
      </c>
      <c r="J58" s="38">
        <f>IFERROR(s_RadSpec!$F$16*J16,".")*$B$58</f>
        <v>1.9385567483512712E-14</v>
      </c>
      <c r="K58" s="47">
        <f t="shared" si="43"/>
        <v>8.2417500000000003E-8</v>
      </c>
      <c r="L58" s="47">
        <f t="shared" si="43"/>
        <v>1.7587749100003667E-9</v>
      </c>
      <c r="M58" s="47">
        <f t="shared" si="43"/>
        <v>1.9385567483512712E-14</v>
      </c>
      <c r="N58" s="47">
        <f t="shared" si="44"/>
        <v>8.4176294295567852E-8</v>
      </c>
      <c r="O58" s="30">
        <f t="shared" ref="O58:AE58" si="58">IFERROR(O16/$B58,0)</f>
        <v>2579238396.942708</v>
      </c>
      <c r="P58" s="30">
        <f t="shared" si="58"/>
        <v>7149251915.5073071</v>
      </c>
      <c r="Q58" s="30">
        <f t="shared" si="58"/>
        <v>2790278935.7777948</v>
      </c>
      <c r="R58" s="30">
        <f t="shared" si="58"/>
        <v>2773778206.345232</v>
      </c>
      <c r="S58" s="30">
        <f t="shared" si="58"/>
        <v>92793678400.405716</v>
      </c>
      <c r="T58" s="38">
        <f>IFERROR(s_RadSpec!$F$16*T16,".")*$B$58</f>
        <v>1.9385567483512712E-14</v>
      </c>
      <c r="U58" s="38">
        <f>IFERROR(s_RadSpec!$M$16*U16,".")*$B$58</f>
        <v>6.9937387283200846E-15</v>
      </c>
      <c r="V58" s="38">
        <f>IFERROR(s_RadSpec!$N$16*V16,".")*$B$58</f>
        <v>1.7919355430342462E-14</v>
      </c>
      <c r="W58" s="38">
        <f>IFERROR(s_RadSpec!$O$16*W16,".")*$B$58</f>
        <v>1.802595459349314E-14</v>
      </c>
      <c r="X58" s="38">
        <f>IFERROR(s_RadSpec!$K$16*X16,".")*$B$58</f>
        <v>5.3882980890410956E-16</v>
      </c>
      <c r="Y58" s="47">
        <f t="shared" si="46"/>
        <v>1.9385567483512712E-14</v>
      </c>
      <c r="Z58" s="47">
        <f t="shared" si="46"/>
        <v>6.9937387283200846E-15</v>
      </c>
      <c r="AA58" s="47">
        <f t="shared" si="46"/>
        <v>1.7919355430342462E-14</v>
      </c>
      <c r="AB58" s="47">
        <f t="shared" si="46"/>
        <v>1.802595459349314E-14</v>
      </c>
      <c r="AC58" s="47">
        <f t="shared" si="46"/>
        <v>5.3882980890410956E-16</v>
      </c>
      <c r="AD58" s="30">
        <f t="shared" si="58"/>
        <v>9.1636455272818912E-2</v>
      </c>
      <c r="AE58" s="30">
        <f t="shared" si="58"/>
        <v>8095353.5459107636</v>
      </c>
      <c r="AF58" s="30">
        <f t="shared" si="47"/>
        <v>9.1636454235527603E-2</v>
      </c>
      <c r="AG58" s="38">
        <f>IFERROR(s_RadSpec!$G$16*AG16,".")*$B$58</f>
        <v>5.4563437499999994E-4</v>
      </c>
      <c r="AH58" s="38">
        <f>IFERROR(s_RadSpec!$J$16*AH16,".")*$B$58</f>
        <v>6.1763825034246576E-12</v>
      </c>
      <c r="AI58" s="47">
        <f t="shared" si="48"/>
        <v>5.4563437499999994E-4</v>
      </c>
      <c r="AJ58" s="47">
        <f t="shared" si="48"/>
        <v>6.1763825034246576E-12</v>
      </c>
      <c r="AK58" s="47">
        <f t="shared" si="49"/>
        <v>5.4563438117638248E-4</v>
      </c>
    </row>
    <row r="59" spans="1:37" x14ac:dyDescent="0.25">
      <c r="A59" s="29" t="s">
        <v>315</v>
      </c>
      <c r="B59" s="24">
        <v>1</v>
      </c>
      <c r="C59" s="109"/>
      <c r="D59" s="30">
        <f>IFERROR(D7/$B59,0)</f>
        <v>97307.028000097314</v>
      </c>
      <c r="E59" s="30">
        <f>IFERROR(E7/$B59,0)</f>
        <v>991543.84629243263</v>
      </c>
      <c r="F59" s="30">
        <f>IFERROR(F7/$B59,0)</f>
        <v>165944.89932919262</v>
      </c>
      <c r="G59" s="30">
        <f t="shared" si="20"/>
        <v>57765.486871481844</v>
      </c>
      <c r="H59" s="38">
        <f>IFERROR(s_RadSpec!$I$7*H7,".")*$B$59</f>
        <v>5.1383749999999998E-10</v>
      </c>
      <c r="I59" s="38">
        <f>IFERROR(s_RadSpec!$G$7*I7,".")*$B$59</f>
        <v>5.0426413503507021E-11</v>
      </c>
      <c r="J59" s="38">
        <f>IFERROR(s_RadSpec!$F$7*J7,".")*$B$59</f>
        <v>3.0130483191780842E-10</v>
      </c>
      <c r="K59" s="47">
        <f t="shared" si="43"/>
        <v>5.1383749999999998E-10</v>
      </c>
      <c r="L59" s="47">
        <f t="shared" si="43"/>
        <v>5.0426413503507021E-11</v>
      </c>
      <c r="M59" s="47">
        <f t="shared" si="43"/>
        <v>3.0130483191780842E-10</v>
      </c>
      <c r="N59" s="47">
        <f t="shared" si="44"/>
        <v>8.6556874542131538E-10</v>
      </c>
      <c r="O59" s="30">
        <f t="shared" ref="O59:AE59" si="59">IFERROR(O7/$B59,0)</f>
        <v>165944.89932919262</v>
      </c>
      <c r="P59" s="30">
        <f t="shared" si="59"/>
        <v>765258.1002249415</v>
      </c>
      <c r="Q59" s="30">
        <f t="shared" si="59"/>
        <v>260447.30986862781</v>
      </c>
      <c r="R59" s="30">
        <f t="shared" si="59"/>
        <v>183335.43435043469</v>
      </c>
      <c r="S59" s="30">
        <f t="shared" si="59"/>
        <v>259255.42796089043</v>
      </c>
      <c r="T59" s="38">
        <f>IFERROR(s_RadSpec!$F$7*T7,".")*$B$59</f>
        <v>3.0130483191780842E-10</v>
      </c>
      <c r="U59" s="38">
        <f>IFERROR(s_RadSpec!$M$7*U7,".")*$B$59</f>
        <v>6.5337433194503794E-11</v>
      </c>
      <c r="V59" s="38">
        <f>IFERROR(s_RadSpec!$N$7*V7,".")*$B$59</f>
        <v>1.9197741003821656E-10</v>
      </c>
      <c r="W59" s="38">
        <f>IFERROR(s_RadSpec!$O$7*W7,".")*$B$59</f>
        <v>2.7272414728310516E-10</v>
      </c>
      <c r="X59" s="38">
        <f>IFERROR(s_RadSpec!$K$7*X7,".")*$B$59</f>
        <v>1.9285999291610849E-10</v>
      </c>
      <c r="Y59" s="47">
        <f t="shared" si="46"/>
        <v>3.0130483191780842E-10</v>
      </c>
      <c r="Z59" s="47">
        <f t="shared" si="46"/>
        <v>6.5337433194503794E-11</v>
      </c>
      <c r="AA59" s="47">
        <f t="shared" si="46"/>
        <v>1.9197741003821656E-10</v>
      </c>
      <c r="AB59" s="47">
        <f t="shared" si="46"/>
        <v>2.7272414728310516E-10</v>
      </c>
      <c r="AC59" s="47">
        <f t="shared" si="46"/>
        <v>1.9285999291610849E-10</v>
      </c>
      <c r="AD59" s="30">
        <f t="shared" si="59"/>
        <v>3.1961007570763673</v>
      </c>
      <c r="AE59" s="30">
        <f t="shared" si="59"/>
        <v>6022371.1809534831</v>
      </c>
      <c r="AF59" s="30">
        <f t="shared" si="47"/>
        <v>3.1960990608915387</v>
      </c>
      <c r="AG59" s="38">
        <f>IFERROR(s_RadSpec!$G$7*AG7,".")*$B$59</f>
        <v>1.5644062499999999E-5</v>
      </c>
      <c r="AH59" s="38">
        <f>IFERROR(s_RadSpec!$J$7*AH7,".")*$B$59</f>
        <v>8.3023776678082202E-12</v>
      </c>
      <c r="AI59" s="47">
        <f t="shared" si="48"/>
        <v>1.5644062499999999E-5</v>
      </c>
      <c r="AJ59" s="47">
        <f t="shared" si="48"/>
        <v>8.3023776678082202E-12</v>
      </c>
      <c r="AK59" s="47">
        <f t="shared" si="49"/>
        <v>1.5644070802377668E-5</v>
      </c>
    </row>
    <row r="60" spans="1:37" x14ac:dyDescent="0.25">
      <c r="A60" s="29" t="s">
        <v>316</v>
      </c>
      <c r="B60" s="33">
        <v>1.9000000000000001E-8</v>
      </c>
      <c r="C60" s="109"/>
      <c r="D60" s="30">
        <f>IFERROR(D12/$B60,0)</f>
        <v>0</v>
      </c>
      <c r="E60" s="30">
        <f>IFERROR(E12/$B60,0)</f>
        <v>0</v>
      </c>
      <c r="F60" s="30">
        <f>IFERROR(F12/$B60,0)</f>
        <v>38805260470.627167</v>
      </c>
      <c r="G60" s="30">
        <f t="shared" si="20"/>
        <v>38805260470.627167</v>
      </c>
      <c r="H60" s="38">
        <f>IFERROR(s_RadSpec!$I$12*H12,".")*$B$60</f>
        <v>0</v>
      </c>
      <c r="I60" s="38">
        <f>IFERROR(s_RadSpec!$G$12*I12,".")*$B$60</f>
        <v>0</v>
      </c>
      <c r="J60" s="38">
        <f>IFERROR(s_RadSpec!$F$12*J12,".")*$B$60</f>
        <v>1.2884851021125463E-15</v>
      </c>
      <c r="K60" s="47">
        <f t="shared" si="43"/>
        <v>0</v>
      </c>
      <c r="L60" s="47">
        <f t="shared" si="43"/>
        <v>0</v>
      </c>
      <c r="M60" s="47">
        <f t="shared" si="43"/>
        <v>1.2884851021125463E-15</v>
      </c>
      <c r="N60" s="47">
        <f t="shared" si="44"/>
        <v>1.2884851021125463E-15</v>
      </c>
      <c r="O60" s="30">
        <f t="shared" ref="O60:AE60" si="60">IFERROR(O12/$B60,0)</f>
        <v>38805260470.627167</v>
      </c>
      <c r="P60" s="30">
        <f t="shared" si="60"/>
        <v>306359674914.80096</v>
      </c>
      <c r="Q60" s="30">
        <f t="shared" si="60"/>
        <v>79644460970.097534</v>
      </c>
      <c r="R60" s="30">
        <f t="shared" si="60"/>
        <v>47691143836.751991</v>
      </c>
      <c r="S60" s="30">
        <f t="shared" si="60"/>
        <v>519900785736.20032</v>
      </c>
      <c r="T60" s="38">
        <f>IFERROR(s_RadSpec!$F$12*T12,".")*$B$60</f>
        <v>1.2884851021125463E-15</v>
      </c>
      <c r="U60" s="38">
        <f>IFERROR(s_RadSpec!$M$12*U12,".")*$B$60</f>
        <v>1.6320685812813022E-16</v>
      </c>
      <c r="V60" s="38">
        <f>IFERROR(s_RadSpec!$N$12*V12,".")*$B$60</f>
        <v>6.2779004830947974E-16</v>
      </c>
      <c r="W60" s="38">
        <f>IFERROR(s_RadSpec!$O$12*W12,".")*$B$60</f>
        <v>1.0484126816322815E-15</v>
      </c>
      <c r="X60" s="38">
        <f>IFERROR(s_RadSpec!$K$12*X12,".")*$B$60</f>
        <v>9.6172195487640992E-17</v>
      </c>
      <c r="Y60" s="47">
        <f t="shared" si="46"/>
        <v>1.2884851021125463E-15</v>
      </c>
      <c r="Z60" s="47">
        <f t="shared" si="46"/>
        <v>1.6320685812813022E-16</v>
      </c>
      <c r="AA60" s="47">
        <f t="shared" si="46"/>
        <v>6.2779004830947974E-16</v>
      </c>
      <c r="AB60" s="47">
        <f t="shared" si="46"/>
        <v>1.0484126816322815E-15</v>
      </c>
      <c r="AC60" s="47">
        <f t="shared" si="46"/>
        <v>9.6172195487640992E-17</v>
      </c>
      <c r="AD60" s="30">
        <f t="shared" si="60"/>
        <v>0</v>
      </c>
      <c r="AE60" s="30">
        <f t="shared" si="60"/>
        <v>3378494297178.8574</v>
      </c>
      <c r="AF60" s="30">
        <f t="shared" si="47"/>
        <v>3378494297178.8574</v>
      </c>
      <c r="AG60" s="38">
        <f>IFERROR(s_RadSpec!$G$12*AG12,".")*$B$60</f>
        <v>0</v>
      </c>
      <c r="AH60" s="38">
        <f>IFERROR(s_RadSpec!$J$12*AH12,".")*$B$60</f>
        <v>1.4799492200342468E-17</v>
      </c>
      <c r="AI60" s="47">
        <f t="shared" si="48"/>
        <v>0</v>
      </c>
      <c r="AJ60" s="47">
        <f t="shared" si="48"/>
        <v>1.4799492200342468E-17</v>
      </c>
      <c r="AK60" s="47">
        <f t="shared" si="49"/>
        <v>1.4799492200342468E-17</v>
      </c>
    </row>
    <row r="61" spans="1:37" x14ac:dyDescent="0.25">
      <c r="A61" s="29" t="s">
        <v>317</v>
      </c>
      <c r="B61" s="24">
        <v>1</v>
      </c>
      <c r="C61" s="109"/>
      <c r="D61" s="30">
        <f>IFERROR(D18/$B61,0)</f>
        <v>253.29922237138732</v>
      </c>
      <c r="E61" s="30">
        <f>IFERROR(E18/$B61,0)</f>
        <v>31112.217626012549</v>
      </c>
      <c r="F61" s="30">
        <f>IFERROR(F18/$B61,0)</f>
        <v>3973669.4583399002</v>
      </c>
      <c r="G61" s="30">
        <f t="shared" si="20"/>
        <v>251.23776237258681</v>
      </c>
      <c r="H61" s="38">
        <f>IFERROR(s_RadSpec!$I$18*H18,".")*$B$61</f>
        <v>1.97395E-7</v>
      </c>
      <c r="I61" s="38">
        <f>IFERROR(s_RadSpec!$G$18*I18,".")*$B$61</f>
        <v>1.6070856986483537E-9</v>
      </c>
      <c r="J61" s="38">
        <f>IFERROR(s_RadSpec!$F$18*J18,".")*$B$61</f>
        <v>1.2582828170335222E-11</v>
      </c>
      <c r="K61" s="47">
        <f t="shared" si="43"/>
        <v>1.97395E-7</v>
      </c>
      <c r="L61" s="47">
        <f t="shared" si="43"/>
        <v>1.6070856986483537E-9</v>
      </c>
      <c r="M61" s="47">
        <f t="shared" si="43"/>
        <v>1.2582828170335222E-11</v>
      </c>
      <c r="N61" s="47">
        <f t="shared" si="44"/>
        <v>1.9901466852681868E-7</v>
      </c>
      <c r="O61" s="30">
        <f t="shared" ref="O61:AE61" si="61">IFERROR(O18/$B61,0)</f>
        <v>3973669.4583399002</v>
      </c>
      <c r="P61" s="30">
        <f t="shared" si="61"/>
        <v>39600952.955493495</v>
      </c>
      <c r="Q61" s="30">
        <f t="shared" si="61"/>
        <v>9767504.56023206</v>
      </c>
      <c r="R61" s="30">
        <f t="shared" si="61"/>
        <v>5194512.4937339183</v>
      </c>
      <c r="S61" s="30">
        <f t="shared" si="61"/>
        <v>69247941.212073535</v>
      </c>
      <c r="T61" s="38">
        <f>IFERROR(s_RadSpec!$F$18*T18,".")*$B$61</f>
        <v>1.2582828170335222E-11</v>
      </c>
      <c r="U61" s="38">
        <f>IFERROR(s_RadSpec!$M$18*U18,".")*$B$61</f>
        <v>1.2625958788464952E-12</v>
      </c>
      <c r="V61" s="38">
        <f>IFERROR(s_RadSpec!$N$18*V18,".")*$B$61</f>
        <v>5.1190147587514496E-12</v>
      </c>
      <c r="W61" s="38">
        <f>IFERROR(s_RadSpec!$O$18*W18,".")*$B$61</f>
        <v>9.6255423507623571E-12</v>
      </c>
      <c r="X61" s="38">
        <f>IFERROR(s_RadSpec!$K$18*X18,".")*$B$61</f>
        <v>7.2204312684002804E-13</v>
      </c>
      <c r="Y61" s="47">
        <f t="shared" si="46"/>
        <v>1.2582828170335222E-11</v>
      </c>
      <c r="Z61" s="47">
        <f t="shared" si="46"/>
        <v>1.2625958788464952E-12</v>
      </c>
      <c r="AA61" s="47">
        <f t="shared" si="46"/>
        <v>5.1190147587514496E-12</v>
      </c>
      <c r="AB61" s="47">
        <f t="shared" si="46"/>
        <v>9.6255423507623571E-12</v>
      </c>
      <c r="AC61" s="47">
        <f t="shared" si="46"/>
        <v>7.2204312684002804E-13</v>
      </c>
      <c r="AD61" s="30">
        <f t="shared" si="61"/>
        <v>0.10028581457152887</v>
      </c>
      <c r="AE61" s="30">
        <f t="shared" si="61"/>
        <v>762048643.84690726</v>
      </c>
      <c r="AF61" s="30">
        <f t="shared" si="47"/>
        <v>0.10028581455833123</v>
      </c>
      <c r="AG61" s="38">
        <f>IFERROR(s_RadSpec!$G$18*AG18,".")*$B$61</f>
        <v>4.9857500000000002E-4</v>
      </c>
      <c r="AH61" s="38">
        <f>IFERROR(s_RadSpec!$J$18*AH18,".")*$B$61</f>
        <v>6.5612609383561654E-14</v>
      </c>
      <c r="AI61" s="47">
        <f t="shared" si="48"/>
        <v>4.9857500000000002E-4</v>
      </c>
      <c r="AJ61" s="47">
        <f t="shared" si="48"/>
        <v>6.5612609383561654E-14</v>
      </c>
      <c r="AK61" s="47">
        <f t="shared" si="49"/>
        <v>4.9857500006561268E-4</v>
      </c>
    </row>
    <row r="62" spans="1:37" x14ac:dyDescent="0.25">
      <c r="A62" s="29" t="s">
        <v>318</v>
      </c>
      <c r="B62" s="24">
        <v>1.339E-6</v>
      </c>
      <c r="C62" s="109"/>
      <c r="D62" s="30">
        <f>IFERROR(D27/$B62,0)</f>
        <v>0</v>
      </c>
      <c r="E62" s="30">
        <f>IFERROR(E27/$B62,0)</f>
        <v>0</v>
      </c>
      <c r="F62" s="30">
        <f>IFERROR(F27/$B62,0)</f>
        <v>35944882822.813713</v>
      </c>
      <c r="G62" s="30">
        <f t="shared" ref="G62" si="62">IFERROR(SUM(D62:F62),0)</f>
        <v>35944882822.813713</v>
      </c>
      <c r="H62" s="38">
        <f>IFERROR(s_RadSpec!$I$27*H27,".")*$B$62</f>
        <v>0</v>
      </c>
      <c r="I62" s="38">
        <f>IFERROR(s_RadSpec!$G$27*I27,".")*$B$62</f>
        <v>0</v>
      </c>
      <c r="J62" s="38">
        <f>IFERROR(s_RadSpec!$F$27*J27,".")*$B$62</f>
        <v>1.3910185838265054E-15</v>
      </c>
      <c r="K62" s="47">
        <f t="shared" si="43"/>
        <v>0</v>
      </c>
      <c r="L62" s="47">
        <f t="shared" si="43"/>
        <v>0</v>
      </c>
      <c r="M62" s="47">
        <f t="shared" si="43"/>
        <v>1.3910185838265054E-15</v>
      </c>
      <c r="N62" s="47">
        <f t="shared" si="44"/>
        <v>1.3910185838265054E-15</v>
      </c>
      <c r="O62" s="30">
        <f t="shared" ref="O62:AE62" si="63">IFERROR(O27/$B62,0)</f>
        <v>35944882822.813713</v>
      </c>
      <c r="P62" s="30">
        <f t="shared" si="63"/>
        <v>313972727259.03424</v>
      </c>
      <c r="Q62" s="30">
        <f t="shared" si="63"/>
        <v>90535029444.361023</v>
      </c>
      <c r="R62" s="30">
        <f t="shared" si="63"/>
        <v>49539868604.334976</v>
      </c>
      <c r="S62" s="30">
        <f t="shared" si="63"/>
        <v>237631020560.33276</v>
      </c>
      <c r="T62" s="38">
        <f>IFERROR(s_RadSpec!$F$27*T27,".")*$B$62</f>
        <v>1.3910185838265054E-15</v>
      </c>
      <c r="U62" s="38">
        <f>IFERROR(s_RadSpec!$M$27*U27,".")*$B$62</f>
        <v>1.5924950054260266E-16</v>
      </c>
      <c r="V62" s="38">
        <f>IFERROR(s_RadSpec!$N$27*V27,".")*$B$62</f>
        <v>5.5227242214272308E-16</v>
      </c>
      <c r="W62" s="38">
        <f>IFERROR(s_RadSpec!$O$27*W27,".")*$B$62</f>
        <v>1.0092881028680155E-15</v>
      </c>
      <c r="X62" s="38">
        <f>IFERROR(s_RadSpec!$K$27*X27,".")*$B$62</f>
        <v>2.1041023971575873E-16</v>
      </c>
      <c r="Y62" s="47">
        <f t="shared" si="46"/>
        <v>1.3910185838265054E-15</v>
      </c>
      <c r="Z62" s="47">
        <f t="shared" si="46"/>
        <v>1.5924950054260266E-16</v>
      </c>
      <c r="AA62" s="47">
        <f t="shared" si="46"/>
        <v>5.5227242214272308E-16</v>
      </c>
      <c r="AB62" s="47">
        <f t="shared" si="46"/>
        <v>1.0092881028680155E-15</v>
      </c>
      <c r="AC62" s="47">
        <f t="shared" si="46"/>
        <v>2.1041023971575873E-16</v>
      </c>
      <c r="AD62" s="30">
        <f t="shared" si="63"/>
        <v>0</v>
      </c>
      <c r="AE62" s="30">
        <f t="shared" si="63"/>
        <v>2530983207985.8687</v>
      </c>
      <c r="AF62" s="30">
        <f t="shared" si="47"/>
        <v>2530983207985.8687</v>
      </c>
      <c r="AG62" s="38">
        <f>IFERROR(s_RadSpec!$G$27*AG27,".")*$B$62</f>
        <v>0</v>
      </c>
      <c r="AH62" s="38">
        <f>IFERROR(s_RadSpec!$J$27*AH27,".")*$B$62</f>
        <v>1.9755168600976031E-17</v>
      </c>
      <c r="AI62" s="47">
        <f t="shared" si="48"/>
        <v>0</v>
      </c>
      <c r="AJ62" s="47">
        <f t="shared" si="48"/>
        <v>1.9755168600976031E-17</v>
      </c>
      <c r="AK62" s="47">
        <f t="shared" si="49"/>
        <v>1.9755168600976031E-17</v>
      </c>
    </row>
    <row r="63" spans="1:37" x14ac:dyDescent="0.25">
      <c r="A63" s="26" t="s">
        <v>35</v>
      </c>
      <c r="B63" s="26" t="s">
        <v>289</v>
      </c>
      <c r="C63" s="110"/>
      <c r="D63" s="27">
        <f>1/SUM(1/D66,1/D68,1/D72,1/D73,1/D75)</f>
        <v>178.33138104199978</v>
      </c>
      <c r="E63" s="27">
        <f>1/SUM(1/E64,1/E65,1/E66,1/E68,1/E72,1/E73,1/E75)</f>
        <v>14562.25102040405</v>
      </c>
      <c r="F63" s="27">
        <f>1/SUM(1/F64,1/F66,1/F68,1/F69,1/F70,1/F71,1/F72,1/F73,1/F74,1/F75,1/F76)</f>
        <v>16.848969669316666</v>
      </c>
      <c r="G63" s="28">
        <f>1/SUM(1/G64,1/G65,1/G66,1/G68,1/G69,1/G70,1/G71,1/G72,1/G73,1/G74,1/G75,1/G76)</f>
        <v>15.378223042543706</v>
      </c>
      <c r="H63" s="45"/>
      <c r="I63" s="45"/>
      <c r="J63" s="45"/>
      <c r="K63" s="46">
        <f>IFERROR(IF(SUM(H64:H76)&gt;0.01,1-EXP(-SUM(H64:H76)),SUM(H64:H76)),".")</f>
        <v>2.8037690118165035E-7</v>
      </c>
      <c r="L63" s="46">
        <f>IFERROR(IF(SUM(I64:I76)&gt;0.01,1-EXP(-SUM(I64:I76)),SUM(I64:I76)),".")</f>
        <v>3.4335350990682673E-9</v>
      </c>
      <c r="M63" s="46">
        <f>IFERROR(IF(SUM(J64:J76)&gt;0.01,1-EXP(-SUM(J64:J76)),SUM(J64:J76)),".")</f>
        <v>2.9675405073020016E-6</v>
      </c>
      <c r="N63" s="46">
        <f>IFERROR(IF(SUM(H64:J76)&gt;0.01,1-EXP(-SUM(H64:J76)),SUM(H64:J76)),".")</f>
        <v>3.2513509435827205E-6</v>
      </c>
      <c r="O63" s="27">
        <f t="shared" ref="O63:S63" si="64">1/SUM(1/O64,1/O66,1/O68,1/O69,1/O70,1/O71,1/O72,1/O73,1/O74,1/O75,1/O76)</f>
        <v>16.848969669316666</v>
      </c>
      <c r="P63" s="27">
        <f t="shared" si="64"/>
        <v>186.80480107653145</v>
      </c>
      <c r="Q63" s="27">
        <f t="shared" si="64"/>
        <v>46.049460612148678</v>
      </c>
      <c r="R63" s="27">
        <f t="shared" si="64"/>
        <v>23.779834925844284</v>
      </c>
      <c r="S63" s="27">
        <f t="shared" si="64"/>
        <v>342.71467781830381</v>
      </c>
      <c r="T63" s="45"/>
      <c r="U63" s="45"/>
      <c r="V63" s="45"/>
      <c r="W63" s="45"/>
      <c r="X63" s="45"/>
      <c r="Y63" s="46">
        <f>IFERROR(IF(SUM(T64:T76)&gt;0.01,1-EXP(-SUM(T64:T76)),SUM(T64:T76)),".")</f>
        <v>2.9675405073020016E-6</v>
      </c>
      <c r="Z63" s="46">
        <f t="shared" ref="Z63:AC63" si="65">IFERROR(IF(SUM(U64:U76)&gt;0.01,1-EXP(-SUM(U64:U76)),SUM(U64:U76)),".")</f>
        <v>2.6765907359905418E-7</v>
      </c>
      <c r="AA63" s="46">
        <f t="shared" si="65"/>
        <v>1.0857890480221856E-6</v>
      </c>
      <c r="AB63" s="46">
        <f t="shared" si="65"/>
        <v>2.1026218287856667E-6</v>
      </c>
      <c r="AC63" s="46">
        <f t="shared" si="65"/>
        <v>1.458939556318285E-7</v>
      </c>
      <c r="AD63" s="27">
        <f>1/SUM(1/AD64,1/AD65,1/AD66,1/AD68,1/AD72,1/AD73,1/AD75)</f>
        <v>4.6939347851414022E-2</v>
      </c>
      <c r="AE63" s="27">
        <f t="shared" ref="AE63:AF63" si="66">1/SUM(1/AE64,1/AE65,1/AE66,1/AE67,1/AE68,1/AE69,1/AE70,1/AE71,1/AE72,1/AE73,1/AE74,1/AE75,1/AE76)</f>
        <v>4124.3617233116993</v>
      </c>
      <c r="AF63" s="28">
        <f t="shared" si="66"/>
        <v>4.693881364092304E-2</v>
      </c>
      <c r="AG63" s="45"/>
      <c r="AH63" s="45"/>
      <c r="AI63" s="46">
        <f>IFERROR(IF(SUM(AG64:AG76)&gt;0.01,1-EXP(-SUM(AG64:AG76)),SUM(AG64:AG76)),".")</f>
        <v>1.0652044028876249E-3</v>
      </c>
      <c r="AJ63" s="46">
        <f>IFERROR(IF(SUM(AH64:AH76)&gt;0.01,1-EXP(-SUM(AH64:AH76)),SUM(AH64:AH76)),".")</f>
        <v>1.2123087971986121E-8</v>
      </c>
      <c r="AK63" s="46">
        <f>IFERROR(IF(SUM(AG64:AH76)&gt;0.01,1-EXP(-SUM(AG64:AH76)),SUM(AG64:AH76)),".")</f>
        <v>1.065216525975597E-3</v>
      </c>
    </row>
    <row r="64" spans="1:37" x14ac:dyDescent="0.25">
      <c r="A64" s="29" t="s">
        <v>306</v>
      </c>
      <c r="B64" s="34">
        <v>1</v>
      </c>
      <c r="C64" s="2"/>
      <c r="D64" s="30">
        <f>IFERROR(D25/$B50,0)</f>
        <v>0</v>
      </c>
      <c r="E64" s="30">
        <f>IFERROR(E25/$B50,0)</f>
        <v>197917370.37179211</v>
      </c>
      <c r="F64" s="30">
        <f>IFERROR(F25/$B50,0)</f>
        <v>151122.2348689615</v>
      </c>
      <c r="G64" s="30">
        <f t="shared" ref="G64:G76" si="67">IF(AND(D64&lt;&gt;0,E64&lt;&gt;0,F64&lt;&gt;0),1/((1/D64)+(1/E64)+(1/F64)),IF(AND(D64&lt;&gt;0,E64&lt;&gt;0,F64=0), 1/((1/D64)+(1/E64)),IF(AND(D64&lt;&gt;0,E64=0,F64&lt;&gt;0),1/((1/D64)+(1/F64)),IF(AND(D64=0,E64&lt;&gt;0,F64&lt;&gt;0),1/((1/E64)+(1/F64)),IF(AND(D64&lt;&gt;0,E64=0,F64=0),1/((1/D64)),IF(AND(D64=0,E64&lt;&gt;0,F64=0),1/((1/E64)),IF(AND(D64=0,E64=0,F64&lt;&gt;0),1/((1/F64)),IF(AND(D64=0,E64=0,F64=0),0))))))))</f>
        <v>151006.93167474199</v>
      </c>
      <c r="H64" s="38">
        <f>IFERROR(s_RadSpec!$I$25*H25,".")*$B$64</f>
        <v>0</v>
      </c>
      <c r="I64" s="38">
        <f>IFERROR(s_RadSpec!$G$25*I25,".")*$B$64</f>
        <v>2.5263068070313339E-13</v>
      </c>
      <c r="J64" s="38">
        <f>IFERROR(s_RadSpec!$F$25*J25,".")*$B$64</f>
        <v>3.3085799745719175E-10</v>
      </c>
      <c r="K64" s="47">
        <f t="shared" ref="K64:M76" si="68">IFERROR(IF(H64&gt;0.01,1-EXP(-H64),H64),".")</f>
        <v>0</v>
      </c>
      <c r="L64" s="47">
        <f t="shared" si="68"/>
        <v>2.5263068070313339E-13</v>
      </c>
      <c r="M64" s="47">
        <f t="shared" si="68"/>
        <v>3.3085799745719175E-10</v>
      </c>
      <c r="N64" s="47">
        <f t="shared" ref="N64:N76" si="69">IFERROR(IF(SUM(H64:J64)&gt;0.01,1-EXP(-SUM(H64:J64)),SUM(H64:J64)),".")</f>
        <v>3.3111062813789487E-10</v>
      </c>
      <c r="O64" s="30">
        <f t="shared" ref="O64:AE64" si="70">IFERROR(O25/$B50,0)</f>
        <v>151122.2348689615</v>
      </c>
      <c r="P64" s="30">
        <f t="shared" si="70"/>
        <v>1284068.7702228804</v>
      </c>
      <c r="Q64" s="30">
        <f t="shared" si="70"/>
        <v>326390.11626016838</v>
      </c>
      <c r="R64" s="30">
        <f t="shared" si="70"/>
        <v>190419.32978219242</v>
      </c>
      <c r="S64" s="30">
        <f t="shared" si="70"/>
        <v>2345168.5866387296</v>
      </c>
      <c r="T64" s="38">
        <f>IFERROR(s_RadSpec!$F$25*T25,".")*$B$64</f>
        <v>3.3085799745719175E-10</v>
      </c>
      <c r="U64" s="38">
        <f>IFERROR(s_RadSpec!$M$25*U25,".")*$B$64</f>
        <v>3.8938724435546656E-11</v>
      </c>
      <c r="V64" s="38">
        <f>IFERROR(s_RadSpec!$N$25*V25,".")*$B$64</f>
        <v>1.5319091329390804E-10</v>
      </c>
      <c r="W64" s="38">
        <f>IFERROR(s_RadSpec!$O$25*W25,".")*$B$64</f>
        <v>2.6257838454316364E-10</v>
      </c>
      <c r="X64" s="38">
        <f>IFERROR(s_RadSpec!$K$25*X25,".")*$B$64</f>
        <v>2.1320428853118714E-11</v>
      </c>
      <c r="Y64" s="47">
        <f t="shared" ref="Y64:AC76" si="71">IFERROR(IF(T64&gt;0.01,1-EXP(-T64),T64),".")</f>
        <v>3.3085799745719175E-10</v>
      </c>
      <c r="Z64" s="47">
        <f t="shared" si="71"/>
        <v>3.8938724435546656E-11</v>
      </c>
      <c r="AA64" s="47">
        <f t="shared" si="71"/>
        <v>1.5319091329390804E-10</v>
      </c>
      <c r="AB64" s="47">
        <f t="shared" si="71"/>
        <v>2.6257838454316364E-10</v>
      </c>
      <c r="AC64" s="47">
        <f t="shared" si="71"/>
        <v>2.1320428853118714E-11</v>
      </c>
      <c r="AD64" s="30">
        <f t="shared" si="70"/>
        <v>637.95853269537486</v>
      </c>
      <c r="AE64" s="30">
        <f t="shared" si="70"/>
        <v>19626864.352316026</v>
      </c>
      <c r="AF64" s="30">
        <f t="shared" ref="AF64:AF76" si="72">IFERROR(IF(AND(AD64&lt;&gt;0,AE64&lt;&gt;0),1/((1/AD64)+(1/AE64)),IF(AND(AD64&lt;&gt;0,AE64=0),1/((1/AD64)),IF(AND(AD64=0,AE64&lt;&gt;0),1/((1/AE64)),IF(AND(AD64=0,AE64=0),0)))),0)</f>
        <v>637.93779693985209</v>
      </c>
      <c r="AG64" s="38">
        <f>IFERROR(s_RadSpec!$G$25*AG25,".")*$B$64</f>
        <v>7.8374999999999999E-8</v>
      </c>
      <c r="AH64" s="38">
        <f>IFERROR(s_RadSpec!$J$25*AH25,".")*$B$64</f>
        <v>2.5475286883561649E-12</v>
      </c>
      <c r="AI64" s="47">
        <f t="shared" ref="AI64:AJ76" si="73">IFERROR(IF(AG64&gt;0.01,1-EXP(-AG64),AG64),".")</f>
        <v>7.8374999999999999E-8</v>
      </c>
      <c r="AJ64" s="47">
        <f t="shared" si="73"/>
        <v>2.5475286883561649E-12</v>
      </c>
      <c r="AK64" s="47">
        <f t="shared" ref="AK64:AK76" si="74">IFERROR(IF(SUM(AG64:AH64)&gt;0.01,1-EXP(-SUM(AG64:AH64)),SUM(AG64:AH64)),".")</f>
        <v>7.8377547528688359E-8</v>
      </c>
    </row>
    <row r="65" spans="1:37" x14ac:dyDescent="0.25">
      <c r="A65" s="29" t="s">
        <v>307</v>
      </c>
      <c r="B65" s="34">
        <v>1</v>
      </c>
      <c r="C65" s="2"/>
      <c r="D65" s="30">
        <f>IFERROR(D21/$B51,0)</f>
        <v>0</v>
      </c>
      <c r="E65" s="30">
        <f>IFERROR(E21/$B51,0)</f>
        <v>32464144.20486949</v>
      </c>
      <c r="F65" s="30">
        <f>IFERROR(F21/$B51,0)</f>
        <v>0</v>
      </c>
      <c r="G65" s="30">
        <f t="shared" si="67"/>
        <v>32464144.204869494</v>
      </c>
      <c r="H65" s="38">
        <f>IFERROR(s_RadSpec!$I$21*H21,".")*$B$65</f>
        <v>0</v>
      </c>
      <c r="I65" s="38">
        <f>IFERROR(s_RadSpec!$G$21*I21,".")*$B$65</f>
        <v>1.5401607288480501E-12</v>
      </c>
      <c r="J65" s="38">
        <f>IFERROR(s_RadSpec!$F$21*J21,".")*$B$65</f>
        <v>0</v>
      </c>
      <c r="K65" s="47">
        <f t="shared" si="68"/>
        <v>0</v>
      </c>
      <c r="L65" s="47">
        <f t="shared" si="68"/>
        <v>1.5401607288480501E-12</v>
      </c>
      <c r="M65" s="47">
        <f t="shared" si="68"/>
        <v>0</v>
      </c>
      <c r="N65" s="47">
        <f t="shared" si="69"/>
        <v>1.5401607288480501E-12</v>
      </c>
      <c r="O65" s="30">
        <f t="shared" ref="O65:AE65" si="75">IFERROR(O21/$B51,0)</f>
        <v>0</v>
      </c>
      <c r="P65" s="30">
        <f t="shared" si="75"/>
        <v>0</v>
      </c>
      <c r="Q65" s="30">
        <f t="shared" si="75"/>
        <v>0</v>
      </c>
      <c r="R65" s="30">
        <f t="shared" si="75"/>
        <v>0</v>
      </c>
      <c r="S65" s="30">
        <f t="shared" si="75"/>
        <v>0</v>
      </c>
      <c r="T65" s="38">
        <f>IFERROR(s_RadSpec!$F$21*T21,".")*$B$65</f>
        <v>0</v>
      </c>
      <c r="U65" s="38">
        <f>IFERROR(s_RadSpec!$M$21*U21,".")*$B$65</f>
        <v>0</v>
      </c>
      <c r="V65" s="38">
        <f>IFERROR(s_RadSpec!$N$21*V21,".")*$B$65</f>
        <v>0</v>
      </c>
      <c r="W65" s="38">
        <f>IFERROR(s_RadSpec!$O$21*W21,".")*$B$65</f>
        <v>0</v>
      </c>
      <c r="X65" s="38">
        <f>IFERROR(s_RadSpec!$K$21*X21,".")*$B$65</f>
        <v>0</v>
      </c>
      <c r="Y65" s="47">
        <f t="shared" si="71"/>
        <v>0</v>
      </c>
      <c r="Z65" s="47">
        <f t="shared" si="71"/>
        <v>0</v>
      </c>
      <c r="AA65" s="47">
        <f t="shared" si="71"/>
        <v>0</v>
      </c>
      <c r="AB65" s="47">
        <f t="shared" si="71"/>
        <v>0</v>
      </c>
      <c r="AC65" s="47">
        <f t="shared" si="71"/>
        <v>0</v>
      </c>
      <c r="AD65" s="30">
        <f t="shared" si="75"/>
        <v>104.64355788096796</v>
      </c>
      <c r="AE65" s="30">
        <f t="shared" si="75"/>
        <v>807140279577.49329</v>
      </c>
      <c r="AF65" s="30">
        <f t="shared" si="72"/>
        <v>104.64355786740121</v>
      </c>
      <c r="AG65" s="38">
        <f>IFERROR(s_RadSpec!$G$21*AG21,".")*$B$65</f>
        <v>4.7781250000000003E-7</v>
      </c>
      <c r="AH65" s="38">
        <f>IFERROR(s_RadSpec!$J$21*AH21,".")*$B$65</f>
        <v>6.1947100479452062E-17</v>
      </c>
      <c r="AI65" s="47">
        <f t="shared" si="73"/>
        <v>4.7781250000000003E-7</v>
      </c>
      <c r="AJ65" s="47">
        <f t="shared" si="73"/>
        <v>6.1947100479452062E-17</v>
      </c>
      <c r="AK65" s="47">
        <f t="shared" si="74"/>
        <v>4.7781250006194715E-7</v>
      </c>
    </row>
    <row r="66" spans="1:37" x14ac:dyDescent="0.25">
      <c r="A66" s="29" t="s">
        <v>308</v>
      </c>
      <c r="B66" s="35">
        <v>0.99980000000000002</v>
      </c>
      <c r="C66" s="2"/>
      <c r="D66" s="30">
        <f>IFERROR(D17/$B52,0)</f>
        <v>1649324.8025460506</v>
      </c>
      <c r="E66" s="30">
        <f>IFERROR(E17/$B52,0)</f>
        <v>5808775.7119980734</v>
      </c>
      <c r="F66" s="30">
        <f>IFERROR(F17/$B52,0)</f>
        <v>353.95758981883785</v>
      </c>
      <c r="G66" s="30">
        <f t="shared" si="67"/>
        <v>353.8600863104852</v>
      </c>
      <c r="H66" s="38">
        <f>IFERROR(s_RadSpec!$I$17*H17,".")*$B$66</f>
        <v>3.0315435699999997E-11</v>
      </c>
      <c r="I66" s="38">
        <f>IFERROR(s_RadSpec!$G$17*I17,".")*$B$66</f>
        <v>8.6076657937962001E-12</v>
      </c>
      <c r="J66" s="38">
        <f>IFERROR(s_RadSpec!$F$17*J17,".")*$B$66</f>
        <v>1.4125986117599842E-7</v>
      </c>
      <c r="K66" s="47">
        <f t="shared" si="68"/>
        <v>3.0315435699999997E-11</v>
      </c>
      <c r="L66" s="47">
        <f t="shared" si="68"/>
        <v>8.6076657937962001E-12</v>
      </c>
      <c r="M66" s="47">
        <f t="shared" si="68"/>
        <v>1.4125986117599842E-7</v>
      </c>
      <c r="N66" s="47">
        <f t="shared" si="69"/>
        <v>1.4129878427749221E-7</v>
      </c>
      <c r="O66" s="30">
        <f t="shared" ref="O66:AE66" si="76">IFERROR(O17/$B52,0)</f>
        <v>353.95758981883785</v>
      </c>
      <c r="P66" s="30">
        <f t="shared" si="76"/>
        <v>2719.2215430932952</v>
      </c>
      <c r="Q66" s="30">
        <f t="shared" si="76"/>
        <v>735.58691260493879</v>
      </c>
      <c r="R66" s="30">
        <f t="shared" si="76"/>
        <v>442.52761961428757</v>
      </c>
      <c r="S66" s="30">
        <f t="shared" si="76"/>
        <v>5281.3254696956492</v>
      </c>
      <c r="T66" s="38">
        <f>IFERROR(s_RadSpec!$F$17*T17,".")*$B$66</f>
        <v>1.4125986117599842E-7</v>
      </c>
      <c r="U66" s="38">
        <f>IFERROR(s_RadSpec!$M$17*U17,".")*$B$66</f>
        <v>1.838761542876043E-8</v>
      </c>
      <c r="V66" s="38">
        <f>IFERROR(s_RadSpec!$N$17*V17,".")*$B$66</f>
        <v>6.797293310036564E-8</v>
      </c>
      <c r="W66" s="38">
        <f>IFERROR(s_RadSpec!$O$17*W17,".")*$B$66</f>
        <v>1.1298729793087404E-7</v>
      </c>
      <c r="X66" s="38">
        <f>IFERROR(s_RadSpec!$K$17*X17,".")*$B$66</f>
        <v>9.4673203321592296E-9</v>
      </c>
      <c r="Y66" s="47">
        <f t="shared" si="71"/>
        <v>1.4125986117599842E-7</v>
      </c>
      <c r="Z66" s="47">
        <f t="shared" si="71"/>
        <v>1.838761542876043E-8</v>
      </c>
      <c r="AA66" s="47">
        <f t="shared" si="71"/>
        <v>6.797293310036564E-8</v>
      </c>
      <c r="AB66" s="47">
        <f t="shared" si="71"/>
        <v>1.1298729793087404E-7</v>
      </c>
      <c r="AC66" s="47">
        <f t="shared" si="71"/>
        <v>9.4673203321592296E-9</v>
      </c>
      <c r="AD66" s="30">
        <f t="shared" si="76"/>
        <v>18.723763472713259</v>
      </c>
      <c r="AE66" s="30">
        <f t="shared" si="76"/>
        <v>31256.35602460615</v>
      </c>
      <c r="AF66" s="30">
        <f t="shared" si="72"/>
        <v>18.712553930772593</v>
      </c>
      <c r="AG66" s="38">
        <f>IFERROR(s_RadSpec!$G$17*AG17,".")*$B$66</f>
        <v>2.6704033125000002E-6</v>
      </c>
      <c r="AH66" s="38">
        <f>IFERROR(s_RadSpec!$J$17*AH17,".")*$B$66</f>
        <v>1.599674637716507E-9</v>
      </c>
      <c r="AI66" s="47">
        <f t="shared" si="73"/>
        <v>2.6704033125000002E-6</v>
      </c>
      <c r="AJ66" s="47">
        <f t="shared" si="73"/>
        <v>1.599674637716507E-9</v>
      </c>
      <c r="AK66" s="47">
        <f t="shared" si="74"/>
        <v>2.6720029871377169E-6</v>
      </c>
    </row>
    <row r="67" spans="1:37" x14ac:dyDescent="0.25">
      <c r="A67" s="29" t="s">
        <v>309</v>
      </c>
      <c r="B67" s="34">
        <v>2.0000000000000001E-4</v>
      </c>
      <c r="C67" s="2"/>
      <c r="D67" s="30">
        <f>IFERROR(D5/$B53,0)</f>
        <v>0</v>
      </c>
      <c r="E67" s="30">
        <f>IFERROR(E5/$B53,0)</f>
        <v>0</v>
      </c>
      <c r="F67" s="30">
        <f>IFERROR(F5/$B53,0)</f>
        <v>0</v>
      </c>
      <c r="G67" s="30">
        <f t="shared" si="67"/>
        <v>0</v>
      </c>
      <c r="H67" s="38">
        <f>IFERROR(s_RadSpec!$I$5*H5,".")*$B$67</f>
        <v>0</v>
      </c>
      <c r="I67" s="38">
        <f>IFERROR(s_RadSpec!$G$5*I5,".")*$B$67</f>
        <v>0</v>
      </c>
      <c r="J67" s="38">
        <f>IFERROR(s_RadSpec!$F$5*J5,".")*$B$67</f>
        <v>0</v>
      </c>
      <c r="K67" s="47">
        <f t="shared" si="68"/>
        <v>0</v>
      </c>
      <c r="L67" s="47">
        <f t="shared" si="68"/>
        <v>0</v>
      </c>
      <c r="M67" s="47">
        <f t="shared" si="68"/>
        <v>0</v>
      </c>
      <c r="N67" s="47">
        <f t="shared" si="69"/>
        <v>0</v>
      </c>
      <c r="O67" s="30">
        <f t="shared" ref="O67:AE67" si="77">IFERROR(O5/$B53,0)</f>
        <v>0</v>
      </c>
      <c r="P67" s="30">
        <f t="shared" si="77"/>
        <v>0</v>
      </c>
      <c r="Q67" s="30">
        <f t="shared" si="77"/>
        <v>0</v>
      </c>
      <c r="R67" s="30">
        <f t="shared" si="77"/>
        <v>0</v>
      </c>
      <c r="S67" s="30">
        <f t="shared" si="77"/>
        <v>0</v>
      </c>
      <c r="T67" s="38">
        <f>IFERROR(s_RadSpec!$F$5*T5,".")*$B$67</f>
        <v>0</v>
      </c>
      <c r="U67" s="38">
        <f>IFERROR(s_RadSpec!$M$5*U5,".")*$B$67</f>
        <v>0</v>
      </c>
      <c r="V67" s="38">
        <f>IFERROR(s_RadSpec!$N$5*V5,".")*$B$67</f>
        <v>0</v>
      </c>
      <c r="W67" s="38">
        <f>IFERROR(s_RadSpec!$O$5*W5,".")*$B$67</f>
        <v>0</v>
      </c>
      <c r="X67" s="38">
        <f>IFERROR(s_RadSpec!$K$5*X5,".")*$B$67</f>
        <v>0</v>
      </c>
      <c r="Y67" s="47">
        <f t="shared" si="71"/>
        <v>0</v>
      </c>
      <c r="Z67" s="47">
        <f t="shared" si="71"/>
        <v>0</v>
      </c>
      <c r="AA67" s="47">
        <f t="shared" si="71"/>
        <v>0</v>
      </c>
      <c r="AB67" s="47">
        <f t="shared" si="71"/>
        <v>0</v>
      </c>
      <c r="AC67" s="47">
        <f t="shared" si="71"/>
        <v>0</v>
      </c>
      <c r="AD67" s="30">
        <f t="shared" si="77"/>
        <v>0</v>
      </c>
      <c r="AE67" s="30">
        <f t="shared" si="77"/>
        <v>5166920729113.499</v>
      </c>
      <c r="AF67" s="30">
        <f t="shared" si="72"/>
        <v>5166920729113.499</v>
      </c>
      <c r="AG67" s="38">
        <f>IFERROR(s_RadSpec!$G$5*AG5,".")*$B$67</f>
        <v>0</v>
      </c>
      <c r="AH67" s="38">
        <f>IFERROR(s_RadSpec!$J$5*AH5,".")*$B$67</f>
        <v>9.6769435068493164E-18</v>
      </c>
      <c r="AI67" s="47">
        <f t="shared" si="73"/>
        <v>0</v>
      </c>
      <c r="AJ67" s="47">
        <f t="shared" si="73"/>
        <v>9.6769435068493164E-18</v>
      </c>
      <c r="AK67" s="47">
        <f t="shared" si="74"/>
        <v>9.6769435068493164E-18</v>
      </c>
    </row>
    <row r="68" spans="1:37" x14ac:dyDescent="0.25">
      <c r="A68" s="29" t="s">
        <v>310</v>
      </c>
      <c r="B68" s="34">
        <v>0.99999979999999999</v>
      </c>
      <c r="C68" s="2"/>
      <c r="D68" s="30">
        <f>IFERROR(D9/$B54,0)</f>
        <v>2469349.6968874843</v>
      </c>
      <c r="E68" s="30">
        <f>IFERROR(E9/$B54,0)</f>
        <v>7301807.3575732186</v>
      </c>
      <c r="F68" s="30">
        <f>IFERROR(F9/$B54,0)</f>
        <v>17.702048926630678</v>
      </c>
      <c r="G68" s="30">
        <f t="shared" si="67"/>
        <v>17.701879111676025</v>
      </c>
      <c r="H68" s="38">
        <f>IFERROR(s_RadSpec!$I$9*H9,".")*$B$68</f>
        <v>2.0248245950349999E-11</v>
      </c>
      <c r="I68" s="38">
        <f>IFERROR(s_RadSpec!$G$9*I9,".")*$B$68</f>
        <v>6.8476197126922933E-12</v>
      </c>
      <c r="J68" s="38">
        <f>IFERROR(s_RadSpec!$F$9*J9,".")*$B$68</f>
        <v>2.8245317933101414E-6</v>
      </c>
      <c r="K68" s="47">
        <f t="shared" si="68"/>
        <v>2.0248245950349999E-11</v>
      </c>
      <c r="L68" s="47">
        <f t="shared" si="68"/>
        <v>6.8476197126922933E-12</v>
      </c>
      <c r="M68" s="47">
        <f t="shared" si="68"/>
        <v>2.8245317933101414E-6</v>
      </c>
      <c r="N68" s="47">
        <f t="shared" si="69"/>
        <v>2.8245588891758045E-6</v>
      </c>
      <c r="O68" s="30">
        <f t="shared" ref="O68:AE68" si="78">IFERROR(O9/$B54,0)</f>
        <v>17.702048926630678</v>
      </c>
      <c r="P68" s="30">
        <f t="shared" si="78"/>
        <v>200.75264902486708</v>
      </c>
      <c r="Q68" s="30">
        <f t="shared" si="78"/>
        <v>49.16175466002435</v>
      </c>
      <c r="R68" s="30">
        <f t="shared" si="78"/>
        <v>25.146995650179655</v>
      </c>
      <c r="S68" s="30">
        <f t="shared" si="78"/>
        <v>367.22650879724722</v>
      </c>
      <c r="T68" s="38">
        <f>IFERROR(s_RadSpec!$F$9*T9,".")*$B$68</f>
        <v>2.8245317933101414E-6</v>
      </c>
      <c r="U68" s="38">
        <f>IFERROR(s_RadSpec!$M$9*U9,".")*$B$68</f>
        <v>2.4906271594855285E-7</v>
      </c>
      <c r="V68" s="38">
        <f>IFERROR(s_RadSpec!$N$9*V9,".")*$B$68</f>
        <v>1.0170507612222654E-6</v>
      </c>
      <c r="W68" s="38">
        <f>IFERROR(s_RadSpec!$O$9*W9,".")*$B$68</f>
        <v>1.9883090885110476E-6</v>
      </c>
      <c r="X68" s="38">
        <f>IFERROR(s_RadSpec!$K$9*X9,".")*$B$68</f>
        <v>1.3615574802527661E-7</v>
      </c>
      <c r="Y68" s="47">
        <f t="shared" si="71"/>
        <v>2.8245317933101414E-6</v>
      </c>
      <c r="Z68" s="47">
        <f t="shared" si="71"/>
        <v>2.4906271594855285E-7</v>
      </c>
      <c r="AA68" s="47">
        <f t="shared" si="71"/>
        <v>1.0170507612222654E-6</v>
      </c>
      <c r="AB68" s="47">
        <f t="shared" si="71"/>
        <v>1.9883090885110476E-6</v>
      </c>
      <c r="AC68" s="47">
        <f t="shared" si="71"/>
        <v>1.3615574802527661E-7</v>
      </c>
      <c r="AD68" s="30">
        <f t="shared" si="78"/>
        <v>23.536338923213652</v>
      </c>
      <c r="AE68" s="30">
        <f t="shared" si="78"/>
        <v>4761.142566490169</v>
      </c>
      <c r="AF68" s="30">
        <f t="shared" si="72"/>
        <v>23.420561195834367</v>
      </c>
      <c r="AG68" s="38">
        <f>IFERROR(s_RadSpec!$G$9*AG9,".")*$B$68</f>
        <v>2.1243745751249998E-6</v>
      </c>
      <c r="AH68" s="38">
        <f>IFERROR(s_RadSpec!$J$9*AH9,".")*$B$68</f>
        <v>1.050168090993737E-8</v>
      </c>
      <c r="AI68" s="47">
        <f t="shared" si="73"/>
        <v>2.1243745751249998E-6</v>
      </c>
      <c r="AJ68" s="47">
        <f t="shared" si="73"/>
        <v>1.050168090993737E-8</v>
      </c>
      <c r="AK68" s="47">
        <f t="shared" si="74"/>
        <v>2.1348762560349371E-6</v>
      </c>
    </row>
    <row r="69" spans="1:37" x14ac:dyDescent="0.25">
      <c r="A69" s="29" t="s">
        <v>311</v>
      </c>
      <c r="B69" s="34">
        <v>1.9999999999999999E-7</v>
      </c>
      <c r="C69" s="2"/>
      <c r="D69" s="30">
        <f>IFERROR(D24/$B55,0)</f>
        <v>0</v>
      </c>
      <c r="E69" s="30">
        <f>IFERROR(E24/$B55,0)</f>
        <v>0</v>
      </c>
      <c r="F69" s="30">
        <f>IFERROR(F24/$B55,0)</f>
        <v>338789087917.6972</v>
      </c>
      <c r="G69" s="30">
        <f t="shared" si="67"/>
        <v>338789087917.6972</v>
      </c>
      <c r="H69" s="38">
        <f>IFERROR(s_RadSpec!$I$24*H24,".")*$B$69</f>
        <v>0</v>
      </c>
      <c r="I69" s="38">
        <f>IFERROR(s_RadSpec!$G$24*I24,".")*$B$69</f>
        <v>0</v>
      </c>
      <c r="J69" s="38">
        <f>IFERROR(s_RadSpec!$F$24*J24,".")*$B$69</f>
        <v>1.4758444643927444E-16</v>
      </c>
      <c r="K69" s="47">
        <f t="shared" si="68"/>
        <v>0</v>
      </c>
      <c r="L69" s="47">
        <f t="shared" si="68"/>
        <v>0</v>
      </c>
      <c r="M69" s="47">
        <f t="shared" si="68"/>
        <v>1.4758444643927444E-16</v>
      </c>
      <c r="N69" s="47">
        <f t="shared" si="69"/>
        <v>1.4758444643927444E-16</v>
      </c>
      <c r="O69" s="30">
        <f t="shared" ref="O69:AE69" si="79">IFERROR(O24/$B55,0)</f>
        <v>338789087917.6972</v>
      </c>
      <c r="P69" s="30">
        <f t="shared" si="79"/>
        <v>2984695188693.2773</v>
      </c>
      <c r="Q69" s="30">
        <f t="shared" si="79"/>
        <v>748624381200.15112</v>
      </c>
      <c r="R69" s="30">
        <f t="shared" si="79"/>
        <v>403943010259.75562</v>
      </c>
      <c r="S69" s="30">
        <f t="shared" si="79"/>
        <v>5078002126476.877</v>
      </c>
      <c r="T69" s="38">
        <f>IFERROR(s_RadSpec!$F$24*T24,".")*$B$69</f>
        <v>1.4758444643927444E-16</v>
      </c>
      <c r="U69" s="38">
        <f>IFERROR(s_RadSpec!$M$24*U24,".")*$B$69</f>
        <v>1.6752129393115818E-17</v>
      </c>
      <c r="V69" s="38">
        <f>IFERROR(s_RadSpec!$N$24*V24,".")*$B$69</f>
        <v>6.6789168581235497E-17</v>
      </c>
      <c r="W69" s="38">
        <f>IFERROR(s_RadSpec!$O$24*W24,".")*$B$69</f>
        <v>1.2377983708109592E-16</v>
      </c>
      <c r="X69" s="38">
        <f>IFERROR(s_RadSpec!$K$24*X24,".")*$B$69</f>
        <v>9.8463920956823346E-18</v>
      </c>
      <c r="Y69" s="47">
        <f t="shared" si="71"/>
        <v>1.4758444643927444E-16</v>
      </c>
      <c r="Z69" s="47">
        <f t="shared" si="71"/>
        <v>1.6752129393115818E-17</v>
      </c>
      <c r="AA69" s="47">
        <f t="shared" si="71"/>
        <v>6.6789168581235497E-17</v>
      </c>
      <c r="AB69" s="47">
        <f t="shared" si="71"/>
        <v>1.2377983708109592E-16</v>
      </c>
      <c r="AC69" s="47">
        <f t="shared" si="71"/>
        <v>9.8463920956823346E-18</v>
      </c>
      <c r="AD69" s="30">
        <f t="shared" si="79"/>
        <v>0</v>
      </c>
      <c r="AE69" s="30">
        <f t="shared" si="79"/>
        <v>49965826830987.688</v>
      </c>
      <c r="AF69" s="30">
        <f t="shared" si="72"/>
        <v>49965826830987.695</v>
      </c>
      <c r="AG69" s="38">
        <f>IFERROR(s_RadSpec!$G$24*AG24,".")*$B$69</f>
        <v>0</v>
      </c>
      <c r="AH69" s="38">
        <f>IFERROR(s_RadSpec!$J$24*AH24,".")*$B$69</f>
        <v>1.0006839308219179E-18</v>
      </c>
      <c r="AI69" s="47">
        <f t="shared" si="73"/>
        <v>0</v>
      </c>
      <c r="AJ69" s="47">
        <f t="shared" si="73"/>
        <v>1.0006839308219179E-18</v>
      </c>
      <c r="AK69" s="47">
        <f t="shared" si="74"/>
        <v>1.0006839308219179E-18</v>
      </c>
    </row>
    <row r="70" spans="1:37" x14ac:dyDescent="0.25">
      <c r="A70" s="29" t="s">
        <v>312</v>
      </c>
      <c r="B70" s="34">
        <v>0.99979000004200003</v>
      </c>
      <c r="C70" s="2"/>
      <c r="D70" s="30">
        <f>IFERROR(D20/$B56,0)</f>
        <v>0</v>
      </c>
      <c r="E70" s="30">
        <f>IFERROR(E20/$B56,0)</f>
        <v>0</v>
      </c>
      <c r="F70" s="30">
        <f>IFERROR(F20/$B56,0)</f>
        <v>466458.00103321346</v>
      </c>
      <c r="G70" s="30">
        <f t="shared" si="67"/>
        <v>466458.00103321346</v>
      </c>
      <c r="H70" s="38">
        <f>IFERROR(s_RadSpec!$I$20*H20,".")*$B$70</f>
        <v>0</v>
      </c>
      <c r="I70" s="38">
        <f>IFERROR(s_RadSpec!$G$20*I20,".")*$B$70</f>
        <v>0</v>
      </c>
      <c r="J70" s="38">
        <f>IFERROR(s_RadSpec!$F$20*J20,".")*$B$70</f>
        <v>1.0719078650006869E-10</v>
      </c>
      <c r="K70" s="47">
        <f t="shared" si="68"/>
        <v>0</v>
      </c>
      <c r="L70" s="47">
        <f t="shared" si="68"/>
        <v>0</v>
      </c>
      <c r="M70" s="47">
        <f t="shared" si="68"/>
        <v>1.0719078650006869E-10</v>
      </c>
      <c r="N70" s="47">
        <f t="shared" si="69"/>
        <v>1.0719078650006869E-10</v>
      </c>
      <c r="O70" s="30">
        <f t="shared" ref="O70:AE70" si="80">IFERROR(O20/$B56,0)</f>
        <v>466458.00103321346</v>
      </c>
      <c r="P70" s="30">
        <f t="shared" si="80"/>
        <v>4650226.5246433476</v>
      </c>
      <c r="Q70" s="30">
        <f t="shared" si="80"/>
        <v>1154344.3907067061</v>
      </c>
      <c r="R70" s="30">
        <f t="shared" si="80"/>
        <v>617117.21133585006</v>
      </c>
      <c r="S70" s="30">
        <f t="shared" si="80"/>
        <v>8133116.150045583</v>
      </c>
      <c r="T70" s="38">
        <f>IFERROR(s_RadSpec!$F$20*T20,".")*$B$70</f>
        <v>1.0719078650006869E-10</v>
      </c>
      <c r="U70" s="38">
        <f>IFERROR(s_RadSpec!$M$20*U20,".")*$B$70</f>
        <v>1.0752164380601825E-11</v>
      </c>
      <c r="V70" s="38">
        <f>IFERROR(s_RadSpec!$N$20*V20,".")*$B$70</f>
        <v>4.3314629847500983E-11</v>
      </c>
      <c r="W70" s="38">
        <f>IFERROR(s_RadSpec!$O$20*W20,".")*$B$70</f>
        <v>8.1021885440153096E-11</v>
      </c>
      <c r="X70" s="38">
        <f>IFERROR(s_RadSpec!$K$20*X20,".")*$B$70</f>
        <v>6.1477051449363318E-12</v>
      </c>
      <c r="Y70" s="47">
        <f t="shared" si="71"/>
        <v>1.0719078650006869E-10</v>
      </c>
      <c r="Z70" s="47">
        <f t="shared" si="71"/>
        <v>1.0752164380601825E-11</v>
      </c>
      <c r="AA70" s="47">
        <f t="shared" si="71"/>
        <v>4.3314629847500983E-11</v>
      </c>
      <c r="AB70" s="47">
        <f t="shared" si="71"/>
        <v>8.1021885440153096E-11</v>
      </c>
      <c r="AC70" s="47">
        <f t="shared" si="71"/>
        <v>6.1477051449363318E-12</v>
      </c>
      <c r="AD70" s="30">
        <f t="shared" si="80"/>
        <v>0</v>
      </c>
      <c r="AE70" s="30">
        <f t="shared" si="80"/>
        <v>89173437.038030326</v>
      </c>
      <c r="AF70" s="30">
        <f t="shared" si="72"/>
        <v>89173437.038030326</v>
      </c>
      <c r="AG70" s="38">
        <f>IFERROR(s_RadSpec!$G$20*AG20,".")*$B$70</f>
        <v>0</v>
      </c>
      <c r="AH70" s="38">
        <f>IFERROR(s_RadSpec!$J$20*AH20,".")*$B$70</f>
        <v>5.6070508955123276E-13</v>
      </c>
      <c r="AI70" s="47">
        <f t="shared" si="73"/>
        <v>0</v>
      </c>
      <c r="AJ70" s="47">
        <f t="shared" si="73"/>
        <v>5.6070508955123276E-13</v>
      </c>
      <c r="AK70" s="47">
        <f t="shared" si="74"/>
        <v>5.6070508955123276E-13</v>
      </c>
    </row>
    <row r="71" spans="1:37" x14ac:dyDescent="0.25">
      <c r="A71" s="29" t="s">
        <v>313</v>
      </c>
      <c r="B71" s="34">
        <v>2.0999995799999999E-4</v>
      </c>
      <c r="C71" s="2"/>
      <c r="D71" s="30">
        <f>IFERROR(D29/$B57,0)</f>
        <v>0</v>
      </c>
      <c r="E71" s="30">
        <f>IFERROR(E29/$B57,0)</f>
        <v>0</v>
      </c>
      <c r="F71" s="30">
        <f>IFERROR(F29/$B57,0)</f>
        <v>50155.775856986278</v>
      </c>
      <c r="G71" s="30">
        <f t="shared" si="67"/>
        <v>50155.775856986278</v>
      </c>
      <c r="H71" s="38">
        <f>IFERROR(s_RadSpec!$I$29*H29,".")*$B$71</f>
        <v>0</v>
      </c>
      <c r="I71" s="38">
        <f>IFERROR(s_RadSpec!$G$29*I29,".")*$B$71</f>
        <v>0</v>
      </c>
      <c r="J71" s="38">
        <f>IFERROR(s_RadSpec!$F$29*J29,".")*$B$71</f>
        <v>9.9689415916064306E-10</v>
      </c>
      <c r="K71" s="47">
        <f t="shared" si="68"/>
        <v>0</v>
      </c>
      <c r="L71" s="47">
        <f t="shared" si="68"/>
        <v>0</v>
      </c>
      <c r="M71" s="47">
        <f t="shared" si="68"/>
        <v>9.9689415916064306E-10</v>
      </c>
      <c r="N71" s="47">
        <f t="shared" si="69"/>
        <v>9.9689415916064306E-10</v>
      </c>
      <c r="O71" s="30">
        <f t="shared" ref="O71:AE71" si="81">IFERROR(O29/$B57,0)</f>
        <v>50155.775856986278</v>
      </c>
      <c r="P71" s="30">
        <f t="shared" si="81"/>
        <v>540868.15517507214</v>
      </c>
      <c r="Q71" s="30">
        <f t="shared" si="81"/>
        <v>134505.29938105785</v>
      </c>
      <c r="R71" s="30">
        <f t="shared" si="81"/>
        <v>71482.471592213566</v>
      </c>
      <c r="S71" s="30">
        <f t="shared" si="81"/>
        <v>1003285.7791257967</v>
      </c>
      <c r="T71" s="38">
        <f>IFERROR(s_RadSpec!$F$29*T29,".")*$B$71</f>
        <v>9.9689415916064306E-10</v>
      </c>
      <c r="U71" s="38">
        <f>IFERROR(s_RadSpec!$M$29*U29,".")*$B$71</f>
        <v>9.2443970904176533E-11</v>
      </c>
      <c r="V71" s="38">
        <f>IFERROR(s_RadSpec!$N$29*V29,".")*$B$71</f>
        <v>3.7173256540880524E-10</v>
      </c>
      <c r="W71" s="38">
        <f>IFERROR(s_RadSpec!$O$29*W29,".")*$B$71</f>
        <v>6.9947217669298398E-10</v>
      </c>
      <c r="X71" s="38">
        <f>IFERROR(s_RadSpec!$K$29*X29,".")*$B$71</f>
        <v>4.9836249093022152E-11</v>
      </c>
      <c r="Y71" s="47">
        <f t="shared" si="71"/>
        <v>9.9689415916064306E-10</v>
      </c>
      <c r="Z71" s="47">
        <f t="shared" si="71"/>
        <v>9.2443970904176533E-11</v>
      </c>
      <c r="AA71" s="47">
        <f t="shared" si="71"/>
        <v>3.7173256540880524E-10</v>
      </c>
      <c r="AB71" s="47">
        <f t="shared" si="71"/>
        <v>6.9947217669298398E-10</v>
      </c>
      <c r="AC71" s="47">
        <f t="shared" si="71"/>
        <v>4.9836249093022152E-11</v>
      </c>
      <c r="AD71" s="30">
        <f t="shared" si="81"/>
        <v>0</v>
      </c>
      <c r="AE71" s="30">
        <f t="shared" si="81"/>
        <v>12255771.296490857</v>
      </c>
      <c r="AF71" s="30">
        <f t="shared" si="72"/>
        <v>12255771.296490857</v>
      </c>
      <c r="AG71" s="38">
        <f>IFERROR(s_RadSpec!$G$29*AG29,".")*$B$71</f>
        <v>0</v>
      </c>
      <c r="AH71" s="38">
        <f>IFERROR(s_RadSpec!$J$29*AH29,".")*$B$71</f>
        <v>4.0797105943316913E-12</v>
      </c>
      <c r="AI71" s="47">
        <f t="shared" si="73"/>
        <v>0</v>
      </c>
      <c r="AJ71" s="47">
        <f t="shared" si="73"/>
        <v>4.0797105943316913E-12</v>
      </c>
      <c r="AK71" s="47">
        <f t="shared" si="74"/>
        <v>4.0797105943316913E-12</v>
      </c>
    </row>
    <row r="72" spans="1:37" x14ac:dyDescent="0.25">
      <c r="A72" s="29" t="s">
        <v>314</v>
      </c>
      <c r="B72" s="34">
        <v>1</v>
      </c>
      <c r="C72" s="2"/>
      <c r="D72" s="30">
        <f>IFERROR(D16/$B58,0)</f>
        <v>606.6672733339401</v>
      </c>
      <c r="E72" s="30">
        <f>IFERROR(E16/$B58,0)</f>
        <v>28428.879509083727</v>
      </c>
      <c r="F72" s="30">
        <f>IFERROR(F16/$B58,0)</f>
        <v>2579238396.942708</v>
      </c>
      <c r="G72" s="30">
        <f t="shared" si="67"/>
        <v>593.99146064134425</v>
      </c>
      <c r="H72" s="38">
        <f>IFERROR(s_RadSpec!$I$16*H16,".")*$B$72</f>
        <v>8.2417500000000003E-8</v>
      </c>
      <c r="I72" s="38">
        <f>IFERROR(s_RadSpec!$G$16*I16,".")*$B$72</f>
        <v>1.7587749100003667E-9</v>
      </c>
      <c r="J72" s="38">
        <f>IFERROR(s_RadSpec!$F$16*J16,".")*$B$72</f>
        <v>1.9385567483512712E-14</v>
      </c>
      <c r="K72" s="47">
        <f t="shared" si="68"/>
        <v>8.2417500000000003E-8</v>
      </c>
      <c r="L72" s="47">
        <f t="shared" si="68"/>
        <v>1.7587749100003667E-9</v>
      </c>
      <c r="M72" s="47">
        <f t="shared" si="68"/>
        <v>1.9385567483512712E-14</v>
      </c>
      <c r="N72" s="47">
        <f t="shared" si="69"/>
        <v>8.4176294295567852E-8</v>
      </c>
      <c r="O72" s="30">
        <f t="shared" ref="O72:AE72" si="82">IFERROR(O16/$B58,0)</f>
        <v>2579238396.942708</v>
      </c>
      <c r="P72" s="30">
        <f t="shared" si="82"/>
        <v>7149251915.5073071</v>
      </c>
      <c r="Q72" s="30">
        <f t="shared" si="82"/>
        <v>2790278935.7777948</v>
      </c>
      <c r="R72" s="30">
        <f t="shared" si="82"/>
        <v>2773778206.345232</v>
      </c>
      <c r="S72" s="30">
        <f t="shared" si="82"/>
        <v>92793678400.405716</v>
      </c>
      <c r="T72" s="38">
        <f>IFERROR(s_RadSpec!$F$16*T16,".")*$B$72</f>
        <v>1.9385567483512712E-14</v>
      </c>
      <c r="U72" s="38">
        <f>IFERROR(s_RadSpec!$M$16*U16,".")*$B$72</f>
        <v>6.9937387283200846E-15</v>
      </c>
      <c r="V72" s="38">
        <f>IFERROR(s_RadSpec!$N$16*V16,".")*$B$72</f>
        <v>1.7919355430342462E-14</v>
      </c>
      <c r="W72" s="38">
        <f>IFERROR(s_RadSpec!$O$16*W16,".")*$B$72</f>
        <v>1.802595459349314E-14</v>
      </c>
      <c r="X72" s="38">
        <f>IFERROR(s_RadSpec!$K$16*X16,".")*$B$72</f>
        <v>5.3882980890410956E-16</v>
      </c>
      <c r="Y72" s="47">
        <f t="shared" si="71"/>
        <v>1.9385567483512712E-14</v>
      </c>
      <c r="Z72" s="47">
        <f t="shared" si="71"/>
        <v>6.9937387283200846E-15</v>
      </c>
      <c r="AA72" s="47">
        <f t="shared" si="71"/>
        <v>1.7919355430342462E-14</v>
      </c>
      <c r="AB72" s="47">
        <f t="shared" si="71"/>
        <v>1.802595459349314E-14</v>
      </c>
      <c r="AC72" s="47">
        <f t="shared" si="71"/>
        <v>5.3882980890410956E-16</v>
      </c>
      <c r="AD72" s="30">
        <f t="shared" si="82"/>
        <v>9.1636455272818912E-2</v>
      </c>
      <c r="AE72" s="30">
        <f t="shared" si="82"/>
        <v>8095353.5459107636</v>
      </c>
      <c r="AF72" s="30">
        <f t="shared" si="72"/>
        <v>9.1636454235527603E-2</v>
      </c>
      <c r="AG72" s="38">
        <f>IFERROR(s_RadSpec!$G$16*AG16,".")*$B$72</f>
        <v>5.4563437499999994E-4</v>
      </c>
      <c r="AH72" s="38">
        <f>IFERROR(s_RadSpec!$J$16*AH16,".")*$B$72</f>
        <v>6.1763825034246576E-12</v>
      </c>
      <c r="AI72" s="47">
        <f t="shared" si="73"/>
        <v>5.4563437499999994E-4</v>
      </c>
      <c r="AJ72" s="47">
        <f t="shared" si="73"/>
        <v>6.1763825034246576E-12</v>
      </c>
      <c r="AK72" s="47">
        <f t="shared" si="74"/>
        <v>5.4563438117638248E-4</v>
      </c>
    </row>
    <row r="73" spans="1:37" x14ac:dyDescent="0.25">
      <c r="A73" s="29" t="s">
        <v>315</v>
      </c>
      <c r="B73" s="34">
        <v>1</v>
      </c>
      <c r="C73" s="2"/>
      <c r="D73" s="30">
        <f>IFERROR(D7/$B59,0)</f>
        <v>97307.028000097314</v>
      </c>
      <c r="E73" s="30">
        <f>IFERROR(E7/$B59,0)</f>
        <v>991543.84629243263</v>
      </c>
      <c r="F73" s="30">
        <f>IFERROR(F7/$B59,0)</f>
        <v>165944.89932919262</v>
      </c>
      <c r="G73" s="30">
        <f t="shared" si="67"/>
        <v>57765.486871481844</v>
      </c>
      <c r="H73" s="38">
        <f>IFERROR(s_RadSpec!$I$7*H7,".")*$B$73</f>
        <v>5.1383749999999998E-10</v>
      </c>
      <c r="I73" s="38">
        <f>IFERROR(s_RadSpec!$G$7*I7,".")*$B$73</f>
        <v>5.0426413503507021E-11</v>
      </c>
      <c r="J73" s="38">
        <f>IFERROR(s_RadSpec!$F$7*J7,".")*$B$73</f>
        <v>3.0130483191780842E-10</v>
      </c>
      <c r="K73" s="47">
        <f t="shared" si="68"/>
        <v>5.1383749999999998E-10</v>
      </c>
      <c r="L73" s="47">
        <f t="shared" si="68"/>
        <v>5.0426413503507021E-11</v>
      </c>
      <c r="M73" s="47">
        <f t="shared" si="68"/>
        <v>3.0130483191780842E-10</v>
      </c>
      <c r="N73" s="47">
        <f t="shared" si="69"/>
        <v>8.6556874542131538E-10</v>
      </c>
      <c r="O73" s="30">
        <f t="shared" ref="O73:AE73" si="83">IFERROR(O7/$B59,0)</f>
        <v>165944.89932919262</v>
      </c>
      <c r="P73" s="30">
        <f t="shared" si="83"/>
        <v>765258.1002249415</v>
      </c>
      <c r="Q73" s="30">
        <f t="shared" si="83"/>
        <v>260447.30986862781</v>
      </c>
      <c r="R73" s="30">
        <f t="shared" si="83"/>
        <v>183335.43435043469</v>
      </c>
      <c r="S73" s="30">
        <f t="shared" si="83"/>
        <v>259255.42796089043</v>
      </c>
      <c r="T73" s="38">
        <f>IFERROR(s_RadSpec!$F$7*T7,".")*$B$73</f>
        <v>3.0130483191780842E-10</v>
      </c>
      <c r="U73" s="38">
        <f>IFERROR(s_RadSpec!$M$7*U7,".")*$B$73</f>
        <v>6.5337433194503794E-11</v>
      </c>
      <c r="V73" s="38">
        <f>IFERROR(s_RadSpec!$N$7*V7,".")*$B$73</f>
        <v>1.9197741003821656E-10</v>
      </c>
      <c r="W73" s="38">
        <f>IFERROR(s_RadSpec!$O$7*W7,".")*$B$73</f>
        <v>2.7272414728310516E-10</v>
      </c>
      <c r="X73" s="38">
        <f>IFERROR(s_RadSpec!$K$7*X7,".")*$B$73</f>
        <v>1.9285999291610849E-10</v>
      </c>
      <c r="Y73" s="47">
        <f t="shared" si="71"/>
        <v>3.0130483191780842E-10</v>
      </c>
      <c r="Z73" s="47">
        <f t="shared" si="71"/>
        <v>6.5337433194503794E-11</v>
      </c>
      <c r="AA73" s="47">
        <f t="shared" si="71"/>
        <v>1.9197741003821656E-10</v>
      </c>
      <c r="AB73" s="47">
        <f t="shared" si="71"/>
        <v>2.7272414728310516E-10</v>
      </c>
      <c r="AC73" s="47">
        <f t="shared" si="71"/>
        <v>1.9285999291610849E-10</v>
      </c>
      <c r="AD73" s="30">
        <f t="shared" si="83"/>
        <v>3.1961007570763673</v>
      </c>
      <c r="AE73" s="30">
        <f t="shared" si="83"/>
        <v>6022371.1809534831</v>
      </c>
      <c r="AF73" s="30">
        <f t="shared" si="72"/>
        <v>3.1960990608915387</v>
      </c>
      <c r="AG73" s="38">
        <f>IFERROR(s_RadSpec!$G$7*AG7,".")*$B$73</f>
        <v>1.5644062499999999E-5</v>
      </c>
      <c r="AH73" s="38">
        <f>IFERROR(s_RadSpec!$J$7*AH7,".")*$B$73</f>
        <v>8.3023776678082202E-12</v>
      </c>
      <c r="AI73" s="47">
        <f t="shared" si="73"/>
        <v>1.5644062499999999E-5</v>
      </c>
      <c r="AJ73" s="47">
        <f t="shared" si="73"/>
        <v>8.3023776678082202E-12</v>
      </c>
      <c r="AK73" s="47">
        <f t="shared" si="74"/>
        <v>1.5644070802377668E-5</v>
      </c>
    </row>
    <row r="74" spans="1:37" x14ac:dyDescent="0.25">
      <c r="A74" s="29" t="s">
        <v>316</v>
      </c>
      <c r="B74" s="36">
        <v>1.9000000000000001E-8</v>
      </c>
      <c r="C74" s="2"/>
      <c r="D74" s="30">
        <f>IFERROR(D12/$B60,0)</f>
        <v>0</v>
      </c>
      <c r="E74" s="30">
        <f>IFERROR(E12/$B60,0)</f>
        <v>0</v>
      </c>
      <c r="F74" s="30">
        <f>IFERROR(F12/$B60,0)</f>
        <v>38805260470.627167</v>
      </c>
      <c r="G74" s="30">
        <f t="shared" si="67"/>
        <v>38805260470.627167</v>
      </c>
      <c r="H74" s="38">
        <f>IFERROR(s_RadSpec!$I$12*H12,".")*$B$74</f>
        <v>0</v>
      </c>
      <c r="I74" s="38">
        <f>IFERROR(s_RadSpec!$G$12*I12,".")*$B$74</f>
        <v>0</v>
      </c>
      <c r="J74" s="38">
        <f>IFERROR(s_RadSpec!$F$12*J12,".")*$B$74</f>
        <v>1.2884851021125463E-15</v>
      </c>
      <c r="K74" s="47">
        <f t="shared" si="68"/>
        <v>0</v>
      </c>
      <c r="L74" s="47">
        <f t="shared" si="68"/>
        <v>0</v>
      </c>
      <c r="M74" s="47">
        <f t="shared" si="68"/>
        <v>1.2884851021125463E-15</v>
      </c>
      <c r="N74" s="47">
        <f t="shared" si="69"/>
        <v>1.2884851021125463E-15</v>
      </c>
      <c r="O74" s="30">
        <f t="shared" ref="O74:AE74" si="84">IFERROR(O12/$B60,0)</f>
        <v>38805260470.627167</v>
      </c>
      <c r="P74" s="30">
        <f t="shared" si="84"/>
        <v>306359674914.80096</v>
      </c>
      <c r="Q74" s="30">
        <f t="shared" si="84"/>
        <v>79644460970.097534</v>
      </c>
      <c r="R74" s="30">
        <f t="shared" si="84"/>
        <v>47691143836.751991</v>
      </c>
      <c r="S74" s="30">
        <f t="shared" si="84"/>
        <v>519900785736.20032</v>
      </c>
      <c r="T74" s="38">
        <f>IFERROR(s_RadSpec!$F$12*T12,".")*$B$74</f>
        <v>1.2884851021125463E-15</v>
      </c>
      <c r="U74" s="38">
        <f>IFERROR(s_RadSpec!$M$12*U12,".")*$B$74</f>
        <v>1.6320685812813022E-16</v>
      </c>
      <c r="V74" s="38">
        <f>IFERROR(s_RadSpec!$N$12*V12,".")*$B$74</f>
        <v>6.2779004830947974E-16</v>
      </c>
      <c r="W74" s="38">
        <f>IFERROR(s_RadSpec!$O$12*W12,".")*$B$74</f>
        <v>1.0484126816322815E-15</v>
      </c>
      <c r="X74" s="38">
        <f>IFERROR(s_RadSpec!$K$12*X12,".")*$B$74</f>
        <v>9.6172195487640992E-17</v>
      </c>
      <c r="Y74" s="47">
        <f t="shared" si="71"/>
        <v>1.2884851021125463E-15</v>
      </c>
      <c r="Z74" s="47">
        <f t="shared" si="71"/>
        <v>1.6320685812813022E-16</v>
      </c>
      <c r="AA74" s="47">
        <f t="shared" si="71"/>
        <v>6.2779004830947974E-16</v>
      </c>
      <c r="AB74" s="47">
        <f t="shared" si="71"/>
        <v>1.0484126816322815E-15</v>
      </c>
      <c r="AC74" s="47">
        <f t="shared" si="71"/>
        <v>9.6172195487640992E-17</v>
      </c>
      <c r="AD74" s="30">
        <f t="shared" si="84"/>
        <v>0</v>
      </c>
      <c r="AE74" s="30">
        <f t="shared" si="84"/>
        <v>3378494297178.8574</v>
      </c>
      <c r="AF74" s="30">
        <f t="shared" si="72"/>
        <v>3378494297178.8574</v>
      </c>
      <c r="AG74" s="38">
        <f>IFERROR(s_RadSpec!$G$12*AG12,".")*$B$74</f>
        <v>0</v>
      </c>
      <c r="AH74" s="38">
        <f>IFERROR(s_RadSpec!$J$12*AH12,".")*$B$74</f>
        <v>1.4799492200342468E-17</v>
      </c>
      <c r="AI74" s="47">
        <f t="shared" si="73"/>
        <v>0</v>
      </c>
      <c r="AJ74" s="47">
        <f t="shared" si="73"/>
        <v>1.4799492200342468E-17</v>
      </c>
      <c r="AK74" s="47">
        <f t="shared" si="74"/>
        <v>1.4799492200342468E-17</v>
      </c>
    </row>
    <row r="75" spans="1:37" x14ac:dyDescent="0.25">
      <c r="A75" s="29" t="s">
        <v>317</v>
      </c>
      <c r="B75" s="34">
        <v>1</v>
      </c>
      <c r="C75" s="2"/>
      <c r="D75" s="30">
        <f>IFERROR(D18/$B61,0)</f>
        <v>253.29922237138732</v>
      </c>
      <c r="E75" s="30">
        <f>IFERROR(E18/$B61,0)</f>
        <v>31112.217626012549</v>
      </c>
      <c r="F75" s="30">
        <f>IFERROR(F18/$B61,0)</f>
        <v>3973669.4583399002</v>
      </c>
      <c r="G75" s="30">
        <f t="shared" si="67"/>
        <v>251.23776237258681</v>
      </c>
      <c r="H75" s="38">
        <f>IFERROR(s_RadSpec!$I$18*H18,".")*$B$75</f>
        <v>1.97395E-7</v>
      </c>
      <c r="I75" s="38">
        <f>IFERROR(s_RadSpec!$G$18*I18,".")*$B$75</f>
        <v>1.6070856986483537E-9</v>
      </c>
      <c r="J75" s="38">
        <f>IFERROR(s_RadSpec!$F$18*J18,".")*$B$75</f>
        <v>1.2582828170335222E-11</v>
      </c>
      <c r="K75" s="47">
        <f t="shared" si="68"/>
        <v>1.97395E-7</v>
      </c>
      <c r="L75" s="47">
        <f t="shared" si="68"/>
        <v>1.6070856986483537E-9</v>
      </c>
      <c r="M75" s="47">
        <f t="shared" si="68"/>
        <v>1.2582828170335222E-11</v>
      </c>
      <c r="N75" s="47">
        <f t="shared" si="69"/>
        <v>1.9901466852681868E-7</v>
      </c>
      <c r="O75" s="30">
        <f t="shared" ref="O75:AE75" si="85">IFERROR(O18/$B61,0)</f>
        <v>3973669.4583399002</v>
      </c>
      <c r="P75" s="30">
        <f t="shared" si="85"/>
        <v>39600952.955493495</v>
      </c>
      <c r="Q75" s="30">
        <f t="shared" si="85"/>
        <v>9767504.56023206</v>
      </c>
      <c r="R75" s="30">
        <f t="shared" si="85"/>
        <v>5194512.4937339183</v>
      </c>
      <c r="S75" s="30">
        <f t="shared" si="85"/>
        <v>69247941.212073535</v>
      </c>
      <c r="T75" s="38">
        <f>IFERROR(s_RadSpec!$F$18*T18,".")*$B$75</f>
        <v>1.2582828170335222E-11</v>
      </c>
      <c r="U75" s="38">
        <f>IFERROR(s_RadSpec!$M$18*U18,".")*$B$75</f>
        <v>1.2625958788464952E-12</v>
      </c>
      <c r="V75" s="38">
        <f>IFERROR(s_RadSpec!$N$18*V18,".")*$B$75</f>
        <v>5.1190147587514496E-12</v>
      </c>
      <c r="W75" s="38">
        <f>IFERROR(s_RadSpec!$O$18*W18,".")*$B$75</f>
        <v>9.6255423507623571E-12</v>
      </c>
      <c r="X75" s="38">
        <f>IFERROR(s_RadSpec!$K$18*X18,".")*$B$75</f>
        <v>7.2204312684002804E-13</v>
      </c>
      <c r="Y75" s="47">
        <f t="shared" si="71"/>
        <v>1.2582828170335222E-11</v>
      </c>
      <c r="Z75" s="47">
        <f t="shared" si="71"/>
        <v>1.2625958788464952E-12</v>
      </c>
      <c r="AA75" s="47">
        <f t="shared" si="71"/>
        <v>5.1190147587514496E-12</v>
      </c>
      <c r="AB75" s="47">
        <f t="shared" si="71"/>
        <v>9.6255423507623571E-12</v>
      </c>
      <c r="AC75" s="47">
        <f t="shared" si="71"/>
        <v>7.2204312684002804E-13</v>
      </c>
      <c r="AD75" s="30">
        <f t="shared" si="85"/>
        <v>0.10028581457152887</v>
      </c>
      <c r="AE75" s="30">
        <f t="shared" si="85"/>
        <v>762048643.84690726</v>
      </c>
      <c r="AF75" s="30">
        <f t="shared" si="72"/>
        <v>0.10028581455833123</v>
      </c>
      <c r="AG75" s="38">
        <f>IFERROR(s_RadSpec!$G$18*AG18,".")*$B$75</f>
        <v>4.9857500000000002E-4</v>
      </c>
      <c r="AH75" s="38">
        <f>IFERROR(s_RadSpec!$J$18*AH18,".")*$B$75</f>
        <v>6.5612609383561654E-14</v>
      </c>
      <c r="AI75" s="47">
        <f t="shared" si="73"/>
        <v>4.9857500000000002E-4</v>
      </c>
      <c r="AJ75" s="47">
        <f t="shared" si="73"/>
        <v>6.5612609383561654E-14</v>
      </c>
      <c r="AK75" s="47">
        <f t="shared" si="74"/>
        <v>4.9857500006561268E-4</v>
      </c>
    </row>
    <row r="76" spans="1:37" x14ac:dyDescent="0.25">
      <c r="A76" s="29" t="s">
        <v>318</v>
      </c>
      <c r="B76" s="34">
        <v>1.339E-6</v>
      </c>
      <c r="C76" s="2"/>
      <c r="D76" s="30">
        <f>IFERROR(D27/$B62,0)</f>
        <v>0</v>
      </c>
      <c r="E76" s="30">
        <f>IFERROR(E27/$B62,0)</f>
        <v>0</v>
      </c>
      <c r="F76" s="30">
        <f>IFERROR(F27/$B62,0)</f>
        <v>35944882822.813713</v>
      </c>
      <c r="G76" s="30">
        <f t="shared" si="67"/>
        <v>35944882822.813713</v>
      </c>
      <c r="H76" s="38">
        <f>IFERROR(s_RadSpec!$I$27*H27,".")*$B$76</f>
        <v>0</v>
      </c>
      <c r="I76" s="38">
        <f>IFERROR(s_RadSpec!$G$27*I27,".")*$B$76</f>
        <v>0</v>
      </c>
      <c r="J76" s="38">
        <f>IFERROR(s_RadSpec!$F$27*J27,".")*$B$76</f>
        <v>1.3910185838265054E-15</v>
      </c>
      <c r="K76" s="47">
        <f t="shared" si="68"/>
        <v>0</v>
      </c>
      <c r="L76" s="47">
        <f t="shared" si="68"/>
        <v>0</v>
      </c>
      <c r="M76" s="47">
        <f t="shared" si="68"/>
        <v>1.3910185838265054E-15</v>
      </c>
      <c r="N76" s="47">
        <f t="shared" si="69"/>
        <v>1.3910185838265054E-15</v>
      </c>
      <c r="O76" s="30">
        <f t="shared" ref="O76:AE76" si="86">IFERROR(O27/$B62,0)</f>
        <v>35944882822.813713</v>
      </c>
      <c r="P76" s="30">
        <f t="shared" si="86"/>
        <v>313972727259.03424</v>
      </c>
      <c r="Q76" s="30">
        <f t="shared" si="86"/>
        <v>90535029444.361023</v>
      </c>
      <c r="R76" s="30">
        <f t="shared" si="86"/>
        <v>49539868604.334976</v>
      </c>
      <c r="S76" s="30">
        <f t="shared" si="86"/>
        <v>237631020560.33276</v>
      </c>
      <c r="T76" s="38">
        <f>IFERROR(s_RadSpec!$F$27*T27,".")*$B$76</f>
        <v>1.3910185838265054E-15</v>
      </c>
      <c r="U76" s="38">
        <f>IFERROR(s_RadSpec!$M$27*U27,".")*$B$76</f>
        <v>1.5924950054260266E-16</v>
      </c>
      <c r="V76" s="38">
        <f>IFERROR(s_RadSpec!$N$27*V27,".")*$B$76</f>
        <v>5.5227242214272308E-16</v>
      </c>
      <c r="W76" s="38">
        <f>IFERROR(s_RadSpec!$O$27*W27,".")*$B$76</f>
        <v>1.0092881028680155E-15</v>
      </c>
      <c r="X76" s="38">
        <f>IFERROR(s_RadSpec!$K$27*X27,".")*$B$76</f>
        <v>2.1041023971575873E-16</v>
      </c>
      <c r="Y76" s="47">
        <f t="shared" si="71"/>
        <v>1.3910185838265054E-15</v>
      </c>
      <c r="Z76" s="47">
        <f t="shared" si="71"/>
        <v>1.5924950054260266E-16</v>
      </c>
      <c r="AA76" s="47">
        <f t="shared" si="71"/>
        <v>5.5227242214272308E-16</v>
      </c>
      <c r="AB76" s="47">
        <f t="shared" si="71"/>
        <v>1.0092881028680155E-15</v>
      </c>
      <c r="AC76" s="47">
        <f t="shared" si="71"/>
        <v>2.1041023971575873E-16</v>
      </c>
      <c r="AD76" s="30">
        <f t="shared" si="86"/>
        <v>0</v>
      </c>
      <c r="AE76" s="30">
        <f t="shared" si="86"/>
        <v>2530983207985.8687</v>
      </c>
      <c r="AF76" s="30">
        <f t="shared" si="72"/>
        <v>2530983207985.8687</v>
      </c>
      <c r="AG76" s="38">
        <f>IFERROR(s_RadSpec!$G$27*AG27,".")*$B$76</f>
        <v>0</v>
      </c>
      <c r="AH76" s="38">
        <f>IFERROR(s_RadSpec!$J$27*AH27,".")*$B$76</f>
        <v>1.9755168600976031E-17</v>
      </c>
      <c r="AI76" s="47">
        <f t="shared" si="73"/>
        <v>0</v>
      </c>
      <c r="AJ76" s="47">
        <f t="shared" si="73"/>
        <v>1.9755168600976031E-17</v>
      </c>
      <c r="AK76" s="47">
        <f t="shared" si="74"/>
        <v>1.9755168600976031E-17</v>
      </c>
    </row>
  </sheetData>
  <sheetProtection algorithmName="SHA-512" hashValue="srf8oN3vbzs0MX1piVw+6USSHcDwC6HgPV8C2kK2OqP8C3QGaaknTOdvibYLgNVzYjmF/LLghkI3uubDThq4ww==" saltValue="bjFttmMaH1dkOUtqQ4zFVw==" spinCount="100000" sheet="1" objects="1" scenarios="1" formatColumns="0" formatRows="0" autoFilter="0"/>
  <autoFilter ref="A1:AF76" xr:uid="{00000000-0009-0000-0000-00000C000000}"/>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4">
    <tabColor theme="9" tint="-0.499984740745262"/>
  </sheetPr>
  <dimension ref="A1:AV76"/>
  <sheetViews>
    <sheetView zoomScale="90" zoomScaleNormal="90" workbookViewId="0">
      <pane xSplit="2" ySplit="1" topLeftCell="C2" activePane="bottomRight" state="frozen"/>
      <selection activeCell="AA1390" sqref="AA1390"/>
      <selection pane="topRight" activeCell="AA1390" sqref="AA1390"/>
      <selection pane="bottomLeft" activeCell="AA1390" sqref="AA1390"/>
      <selection pane="bottomRight" activeCell="C2" sqref="C2"/>
    </sheetView>
  </sheetViews>
  <sheetFormatPr defaultColWidth="9.140625" defaultRowHeight="15" x14ac:dyDescent="0.25"/>
  <cols>
    <col min="1" max="1" width="15.42578125" style="3" customWidth="1"/>
    <col min="2" max="2" width="13.28515625" style="3" bestFit="1" customWidth="1"/>
    <col min="3" max="3" width="13.28515625" style="3" customWidth="1"/>
    <col min="4" max="4" width="14.42578125" style="2" bestFit="1" customWidth="1"/>
    <col min="5" max="5" width="14.5703125" style="2" bestFit="1" customWidth="1"/>
    <col min="6" max="6" width="14.28515625" style="2" bestFit="1" customWidth="1"/>
    <col min="7" max="9" width="14.140625" style="2" bestFit="1" customWidth="1"/>
    <col min="10" max="10" width="14" style="2" bestFit="1" customWidth="1"/>
    <col min="11" max="12" width="14.5703125" style="2" bestFit="1" customWidth="1"/>
    <col min="13" max="13" width="14.42578125" style="2" bestFit="1" customWidth="1"/>
    <col min="14" max="14" width="14.28515625" style="2" bestFit="1" customWidth="1"/>
    <col min="15" max="15" width="18.28515625" style="2" bestFit="1" customWidth="1"/>
    <col min="16" max="16" width="18.42578125" style="2" bestFit="1" customWidth="1"/>
    <col min="17" max="17" width="18.140625" style="2" bestFit="1" customWidth="1"/>
    <col min="18" max="18" width="17.85546875" style="2" bestFit="1" customWidth="1"/>
    <col min="19" max="21" width="17.7109375" style="2" bestFit="1" customWidth="1"/>
    <col min="22" max="24" width="18.28515625" style="2" bestFit="1" customWidth="1"/>
    <col min="25" max="25" width="18.140625" style="2" bestFit="1" customWidth="1"/>
    <col min="26" max="26" width="13.5703125" style="2" bestFit="1" customWidth="1"/>
    <col min="27" max="28" width="15.42578125" style="2" bestFit="1" customWidth="1"/>
    <col min="29" max="29" width="16.42578125" style="2" bestFit="1" customWidth="1"/>
    <col min="30" max="30" width="13.85546875" style="2" bestFit="1" customWidth="1"/>
    <col min="31" max="31" width="13.140625" style="2" bestFit="1" customWidth="1"/>
    <col min="32" max="33" width="14.85546875" style="2" bestFit="1" customWidth="1"/>
    <col min="34" max="34" width="16" style="2" bestFit="1" customWidth="1"/>
    <col min="35" max="36" width="13.5703125" style="2" bestFit="1" customWidth="1"/>
    <col min="37" max="38" width="15.42578125" style="2" bestFit="1" customWidth="1"/>
    <col min="39" max="39" width="16.42578125" style="2" bestFit="1" customWidth="1"/>
    <col min="40" max="40" width="14.140625" style="2" bestFit="1" customWidth="1"/>
    <col min="41" max="41" width="13.85546875" style="2" bestFit="1" customWidth="1"/>
    <col min="42" max="42" width="14.140625" style="2" bestFit="1" customWidth="1"/>
    <col min="43" max="43" width="13.28515625" style="2" bestFit="1" customWidth="1"/>
    <col min="44" max="44" width="13.42578125" style="2" bestFit="1" customWidth="1"/>
    <col min="45" max="45" width="13.85546875" style="2" bestFit="1" customWidth="1"/>
    <col min="46" max="46" width="14" style="2" bestFit="1" customWidth="1"/>
    <col min="47" max="47" width="14.28515625" style="2" bestFit="1" customWidth="1"/>
    <col min="48" max="48" width="13.7109375" style="2" bestFit="1" customWidth="1"/>
    <col min="49" max="16384" width="9.140625" style="2"/>
  </cols>
  <sheetData>
    <row r="1" spans="1:48" x14ac:dyDescent="0.25">
      <c r="A1" s="21" t="s">
        <v>51</v>
      </c>
      <c r="B1" s="21" t="s">
        <v>274</v>
      </c>
      <c r="C1" s="108"/>
      <c r="D1" s="22" t="s">
        <v>341</v>
      </c>
      <c r="E1" s="22" t="s">
        <v>342</v>
      </c>
      <c r="F1" s="22" t="s">
        <v>343</v>
      </c>
      <c r="G1" s="22" t="s">
        <v>344</v>
      </c>
      <c r="H1" s="39" t="s">
        <v>353</v>
      </c>
      <c r="I1" s="39" t="s">
        <v>354</v>
      </c>
      <c r="J1" s="39" t="s">
        <v>355</v>
      </c>
      <c r="K1" s="40" t="s">
        <v>356</v>
      </c>
      <c r="L1" s="40" t="s">
        <v>357</v>
      </c>
      <c r="M1" s="40" t="s">
        <v>358</v>
      </c>
      <c r="N1" s="40" t="s">
        <v>359</v>
      </c>
      <c r="O1" s="22" t="s">
        <v>360</v>
      </c>
      <c r="P1" s="22" t="s">
        <v>361</v>
      </c>
      <c r="Q1" s="22" t="s">
        <v>362</v>
      </c>
      <c r="R1" s="22" t="s">
        <v>363</v>
      </c>
      <c r="S1" s="39" t="s">
        <v>364</v>
      </c>
      <c r="T1" s="39" t="s">
        <v>365</v>
      </c>
      <c r="U1" s="39" t="s">
        <v>366</v>
      </c>
      <c r="V1" s="40" t="s">
        <v>367</v>
      </c>
      <c r="W1" s="40" t="s">
        <v>368</v>
      </c>
      <c r="X1" s="40" t="s">
        <v>369</v>
      </c>
      <c r="Y1" s="40" t="s">
        <v>370</v>
      </c>
      <c r="Z1" s="22" t="s">
        <v>345</v>
      </c>
      <c r="AA1" s="24" t="s">
        <v>346</v>
      </c>
      <c r="AB1" s="24" t="s">
        <v>347</v>
      </c>
      <c r="AC1" s="24" t="s">
        <v>348</v>
      </c>
      <c r="AD1" s="24" t="s">
        <v>349</v>
      </c>
      <c r="AE1" s="41" t="s">
        <v>371</v>
      </c>
      <c r="AF1" s="41" t="s">
        <v>372</v>
      </c>
      <c r="AG1" s="41" t="s">
        <v>373</v>
      </c>
      <c r="AH1" s="41" t="s">
        <v>374</v>
      </c>
      <c r="AI1" s="41" t="s">
        <v>375</v>
      </c>
      <c r="AJ1" s="42" t="s">
        <v>376</v>
      </c>
      <c r="AK1" s="42" t="s">
        <v>377</v>
      </c>
      <c r="AL1" s="42" t="s">
        <v>378</v>
      </c>
      <c r="AM1" s="42" t="s">
        <v>379</v>
      </c>
      <c r="AN1" s="42" t="s">
        <v>380</v>
      </c>
      <c r="AO1" s="24" t="s">
        <v>350</v>
      </c>
      <c r="AP1" s="24" t="s">
        <v>351</v>
      </c>
      <c r="AQ1" s="24" t="s">
        <v>352</v>
      </c>
      <c r="AR1" s="41" t="s">
        <v>381</v>
      </c>
      <c r="AS1" s="41" t="s">
        <v>382</v>
      </c>
      <c r="AT1" s="42" t="s">
        <v>383</v>
      </c>
      <c r="AU1" s="42" t="s">
        <v>384</v>
      </c>
      <c r="AV1" s="42" t="s">
        <v>385</v>
      </c>
    </row>
    <row r="2" spans="1:48" x14ac:dyDescent="0.25">
      <c r="A2" s="23" t="s">
        <v>12</v>
      </c>
      <c r="B2" s="24" t="s">
        <v>289</v>
      </c>
      <c r="C2" s="2"/>
      <c r="D2" s="22">
        <f>IFERROR((s_TR/(s_RadSpec!I2*s_EF_cw*s_ED_con*s_IRS_cw*(1/1000)))*1,".")</f>
        <v>59075.468911534495</v>
      </c>
      <c r="E2" s="22">
        <f>IFERROR(IF(A2="H-3",(s_TR/(s_RadSpec!G2*s_EF_cw*s_ED_con*s_ET_cw_o*(1/24)*s_IRA_cw*(1/17)*1000))*1,(s_TR/(s_RadSpec!G2*s_EF_cw*s_ED_con*s_ET_cw_o*(1/24)*s_IRA_cw*(1/s_PEFsc)*1000))*1),".")</f>
        <v>379.75778139603534</v>
      </c>
      <c r="F2" s="22">
        <f>IFERROR((s_TR/(s_RadSpec!F2*s_EF_cw*(1/365)*s_ED_con*s_RadSpec!Q2*s_ET_cw_o*(1/24)*s_RadSpec!V2))*1,".")</f>
        <v>300846.87312973652</v>
      </c>
      <c r="G2" s="22">
        <f t="shared" ref="G2" si="0">(IF(AND(ISNUMBER(D2),ISNUMBER(E2),ISNUMBER(F2)),1/((1/D2)+(1/E2)+(1/F2)),IF(AND(ISNUMBER(D2),ISNUMBER(E2),NOT(ISNUMBER(F2))), 1/((1/D2)+(1/E2)),IF(AND(ISNUMBER(D2),NOT(ISNUMBER(E2)),ISNUMBER(F2)),1/((1/D2)+(1/F2)),IF(AND(NOT(ISNUMBER(D2)),ISNUMBER(E2),ISNUMBER(F2)),1/((1/E2)+(1/F2)),IF(AND(ISNUMBER(D2),NOT(ISNUMBER(E2)),NOT(ISNUMBER(F2))),1/((1/D2)),IF(AND(NOT(ISNUMBER(D2)),NOT(ISNUMBER(E2)),ISNUMBER(F2)),1/((1/F2)),IF(AND(NOT(ISNUMBER(D2)),ISNUMBER(E2),NOT(ISNUMBER(F2))),1/((1/E2)),IF(AND(NOT(ISNUMBER(D2)),NOT(ISNUMBER(E2)),NOT(ISNUMBER(F2))),".")))))))))</f>
        <v>376.85948856533116</v>
      </c>
      <c r="H2" s="43">
        <f t="shared" ref="H2:H30" si="1">s_C*s_EF_cw*s_ED_con*s_IRS_cw*(1/1000)*1</f>
        <v>9.375</v>
      </c>
      <c r="I2" s="43">
        <f t="shared" ref="I2:I30" si="2">s_C*s_EF_cw*s_ED_con*(s_ET_cw_i+s_ET_cw_o)*(1/24)*s_IRA_cw*(1/s_PEFsc)*1000*1</f>
        <v>4.6093989487085221</v>
      </c>
      <c r="J2" s="43">
        <f>s_C*s_EF_cw*(1/365)*s_ED_con*(s_ET_cw_i+s_ET_cw_o)*(1/24)*s_RadSpec!V2*s_RadSpec!Q2*1</f>
        <v>4.0322189452442854E-3</v>
      </c>
      <c r="K2" s="11"/>
      <c r="L2" s="11"/>
      <c r="M2" s="11"/>
      <c r="N2" s="11"/>
      <c r="O2" s="22">
        <f>IFERROR((s_TR/(s_RadSpec!I2*s_EF_cw*s_ED_con*s_IRS_cw*(1/1000)))*1,".")</f>
        <v>59075.468911534495</v>
      </c>
      <c r="P2" s="22">
        <f>IFERROR(IF(A2="H-3",(s_TR/(s_RadSpec!G2*s_EF_cw*s_ED_con*s_ET_cw_o*(1/24)*s_IRA_cw*(1/17)*1000))*1,(s_TR/(s_RadSpec!G2*s_EF_cw*s_ED_con*s_ET_cw_o*(1/24)*s_IRA_cw*(1/s_PEF__sc)*1000))*1),".")</f>
        <v>2388.4473525789967</v>
      </c>
      <c r="Q2" s="22">
        <f>IFERROR((s_TR/(s_RadSpec!F2*s_EF_cw*(1/365)*s_ED_con*s_RadSpec!Q2*s_ET_cw_o*(1/24)*s_RadSpec!V2))*1,".")</f>
        <v>300846.87312973652</v>
      </c>
      <c r="R2" s="22">
        <f t="shared" ref="R2" si="3">(IF(AND(ISNUMBER(O2),ISNUMBER(P2),ISNUMBER(Q2)),1/((1/O2)+(1/P2)+(1/Q2)),IF(AND(ISNUMBER(O2),ISNUMBER(P2),NOT(ISNUMBER(Q2))), 1/((1/O2)+(1/P2)),IF(AND(ISNUMBER(O2),NOT(ISNUMBER(P2)),ISNUMBER(Q2)),1/((1/O2)+(1/Q2)),IF(AND(NOT(ISNUMBER(O2)),ISNUMBER(P2),ISNUMBER(Q2)),1/((1/P2)+(1/Q2)),IF(AND(ISNUMBER(O2),NOT(ISNUMBER(P2)),NOT(ISNUMBER(Q2))),1/((1/O2)),IF(AND(NOT(ISNUMBER(O2)),NOT(ISNUMBER(P2)),ISNUMBER(Q2)),1/((1/Q2)),IF(AND(NOT(ISNUMBER(O2)),ISNUMBER(P2),NOT(ISNUMBER(Q2))),1/((1/P2)),IF(AND(NOT(ISNUMBER(O2)),NOT(ISNUMBER(P2)),NOT(ISNUMBER(Q2))),".")))))))))</f>
        <v>2278.2495117322642</v>
      </c>
      <c r="S2" s="43">
        <f t="shared" ref="S2:S30" si="4">s_C*s_EF_cw*s_ED_con*s_IRS_cw*(1/1000)*1</f>
        <v>9.375</v>
      </c>
      <c r="T2" s="43">
        <f t="shared" ref="T2:T30" si="5">s_C*s_EF_cw*s_ED_con*(s_ET_cw_i+s_ET_cw_o)*(1/24)*s_IRA_cw*(1/s_PEF__sc)*1000*1</f>
        <v>0.73288411253472296</v>
      </c>
      <c r="U2" s="43">
        <f>s_C*s_EF_cw*(1/365)*s_ED_con*(s_ET_cw_i+s_ET_cw_o)*(1/24)*s_RadSpec!V2*s_RadSpec!Q2*1</f>
        <v>4.0322189452442854E-3</v>
      </c>
      <c r="V2" s="11"/>
      <c r="W2" s="11"/>
      <c r="X2" s="11"/>
      <c r="Y2" s="22"/>
      <c r="Z2" s="22">
        <f>IFERROR((s_TR/(s_RadSpec!F2*s_EF_cw*(1/365)*s_ED_con*s_RadSpec!Q2*s_ET_cw_o*(1/24)*s_RadSpec!V2))*1,".")</f>
        <v>300846.87312973652</v>
      </c>
      <c r="AA2" s="22">
        <f>IFERROR((s_TR/(s_RadSpec!M2*s_EF_cw*(1/365)*s_ED_con*s_RadSpec!R2*s_ET_cw_o*(1/24)*s_RadSpec!W2))*1,".")</f>
        <v>2171596.7516504908</v>
      </c>
      <c r="AB2" s="22">
        <f>IFERROR((s_TR/(s_RadSpec!N2*s_EF_cw*(1/365)*s_ED_con*s_RadSpec!S2*s_ET_cw_o*(1/24)*s_RadSpec!X2))*1,".")</f>
        <v>569689.22711884568</v>
      </c>
      <c r="AC2" s="22">
        <f>IFERROR((s_TR/(s_RadSpec!O2*s_EF_cw*(1/365)*s_ED_con*s_RadSpec!T2*s_ET_cw_o*(1/24)*s_RadSpec!Y2))*1,".")</f>
        <v>352400.11990058812</v>
      </c>
      <c r="AD2" s="22">
        <f>IFERROR((s_TR/(s_RadSpec!K2*s_EF_cw*(1/365)*s_ED_con*s_RadSpec!P2*s_ET_cw_o*(1/24)*s_RadSpec!U2))*1,".")</f>
        <v>16497156.661023498</v>
      </c>
      <c r="AE2" s="43">
        <f>s_C*s_EF_cw*(1/365)*s_ED_con*(s_ET_cw_i+s_ET_cw_o)*(1/24)*s_RadSpec!V2*s_RadSpec!Q2*1</f>
        <v>4.0322189452442854E-3</v>
      </c>
      <c r="AF2" s="43">
        <f>s_C*s_EF_cw*(1/365)*s_ED_con*(s_ET_cw_i+s_ET_cw_o)*(1/24)*s_RadSpec!W2*s_RadSpec!R2*1</f>
        <v>1.9942365519545614E-3</v>
      </c>
      <c r="AG2" s="43">
        <f>s_C*s_EF_cw*(1/365)*s_ED_con*(s_ET_cw_i+s_ET_cw_o)*(1/24)*s_RadSpec!X2*s_RadSpec!S2*1</f>
        <v>2.9362047769582031E-3</v>
      </c>
      <c r="AH2" s="43">
        <f>s_C*s_EF_cw*(1/365)*s_ED_con*(s_ET_cw_i+s_ET_cw_o)*(1/24)*s_RadSpec!Y2*s_RadSpec!T2*1</f>
        <v>3.5323995690318623E-3</v>
      </c>
      <c r="AI2" s="43">
        <f>s_C*s_EF_cw*(1/365)*s_ED_con*(s_ET_cw_i+s_ET_cw_o)*(1/24)*s_RadSpec!U2*s_RadSpec!P2*1</f>
        <v>2.5201012507444911E-4</v>
      </c>
      <c r="AJ2" s="11"/>
      <c r="AK2" s="11"/>
      <c r="AL2" s="11"/>
      <c r="AM2" s="11"/>
      <c r="AN2" s="11"/>
      <c r="AO2" s="22">
        <f>IFERROR(s_TR/(s_RadSpec!G2*s_EF_cw*s_ED_con*s_ET_cw_o*(1/24)*s_IRA_cw),".")</f>
        <v>0.7468608504877936</v>
      </c>
      <c r="AP2" s="22">
        <f>IFERROR(s_TR/(s_RadSpec!J2*s_EF_cw*(1/365)*s_ED_con*s_ET_cw_o*(1/24)*s_GSF_a),".")</f>
        <v>9073159.665817447</v>
      </c>
      <c r="AQ2" s="22">
        <f t="shared" ref="AQ2" si="6">IFERROR(IF(AND(ISNUMBER(AO2),ISNUMBER(AP2)),1/((1/AO2)+(1/AP2)),IF(AND(ISNUMBER(AO2),NOT(ISNUMBER(AP2))),1/((1/AO2)),IF(AND(NOT(ISNUMBER(AO2)),ISNUMBER(AP2)),1/((1/AP2)),IF(AND(NOT(ISNUMBER(AO2)),NOT(ISNUMBER(AP2))),".")))),".")</f>
        <v>0.74686078900964215</v>
      </c>
      <c r="AR2" s="43">
        <f t="shared" ref="AR2:AR30" si="7">s_C*s_EF_cw*s_ED_con*(s_ET_cw_i+s_ET_cw_o)*(1/24)*s_IRA_cw*1</f>
        <v>2343.75</v>
      </c>
      <c r="AS2" s="43">
        <f t="shared" ref="AS2:AS30" si="8">s_C*s_EF_cw*(1/365)*s_ED_con*(s_ET_cw_i+s_ET_cw_o)*(1/24)*s_GSF_a*1</f>
        <v>0.10702054794520549</v>
      </c>
      <c r="AT2" s="11"/>
      <c r="AU2" s="11"/>
      <c r="AV2" s="11"/>
    </row>
    <row r="3" spans="1:48" x14ac:dyDescent="0.25">
      <c r="A3" s="25" t="s">
        <v>13</v>
      </c>
      <c r="B3" s="24" t="s">
        <v>275</v>
      </c>
      <c r="C3" s="2"/>
      <c r="D3" s="22">
        <f>IFERROR((s_TR/(s_RadSpec!I3*s_EF_cw*s_ED_con*s_IRS_cw*(1/1000)))*1,".")</f>
        <v>58595.180546400064</v>
      </c>
      <c r="E3" s="22">
        <f>IFERROR(IF(A3="H-3",(s_TR/(s_RadSpec!G3*s_EF_cw*s_ED_con*s_ET_cw_o*(1/24)*s_IRA_cw*(1/17)*1000))*1,(s_TR/(s_RadSpec!G3*s_EF_cw*s_ED_con*s_ET_cw_o*(1/24)*s_IRA_cw*(1/s_PEFsc)*1000))*1),".")</f>
        <v>287.42451689974445</v>
      </c>
      <c r="F3" s="22">
        <f>IFERROR((s_TR/(s_RadSpec!F3*s_EF_cw*(1/365)*s_ED_con*s_RadSpec!Q3*s_ET_cw_o*(1/24)*s_RadSpec!V3))*1,".")</f>
        <v>58788906.378991231</v>
      </c>
      <c r="G3" s="22">
        <f t="shared" ref="G3:G30" si="9">(IF(AND(ISNUMBER(D3),ISNUMBER(E3),ISNUMBER(F3)),1/((1/D3)+(1/E3)+(1/F3)),IF(AND(ISNUMBER(D3),ISNUMBER(E3),NOT(ISNUMBER(F3))), 1/((1/D3)+(1/E3)),IF(AND(ISNUMBER(D3),NOT(ISNUMBER(E3)),ISNUMBER(F3)),1/((1/D3)+(1/F3)),IF(AND(NOT(ISNUMBER(D3)),ISNUMBER(E3),ISNUMBER(F3)),1/((1/E3)+(1/F3)),IF(AND(ISNUMBER(D3),NOT(ISNUMBER(E3)),NOT(ISNUMBER(F3))),1/((1/D3)),IF(AND(NOT(ISNUMBER(D3)),NOT(ISNUMBER(E3)),ISNUMBER(F3)),1/((1/F3)),IF(AND(NOT(ISNUMBER(D3)),ISNUMBER(E3),NOT(ISNUMBER(F3))),1/((1/E3)),IF(AND(NOT(ISNUMBER(D3)),NOT(ISNUMBER(E3)),NOT(ISNUMBER(F3))),".")))))))))</f>
        <v>286.02011586963425</v>
      </c>
      <c r="H3" s="43">
        <f t="shared" si="1"/>
        <v>9.375</v>
      </c>
      <c r="I3" s="43">
        <f t="shared" si="2"/>
        <v>4.6093989487085221</v>
      </c>
      <c r="J3" s="43">
        <f>s_C*s_EF_cw*(1/365)*s_ED_con*(s_ET_cw_i+s_ET_cw_o)*(1/24)*s_RadSpec!V3*s_RadSpec!Q3*1</f>
        <v>3.0734106076571823E-5</v>
      </c>
      <c r="K3" s="4"/>
      <c r="L3" s="4"/>
      <c r="M3" s="4"/>
      <c r="N3" s="4"/>
      <c r="O3" s="22">
        <f>IFERROR((s_TR/(s_RadSpec!I3*s_EF_cw*s_ED_con*s_IRS_cw*(1/1000)))*1,".")</f>
        <v>58595.180546400064</v>
      </c>
      <c r="P3" s="22">
        <f>IFERROR(IF(A3="H-3",(s_TR/(s_RadSpec!G3*s_EF_cw*s_ED_con*s_ET_cw_o*(1/24)*s_IRA_cw*(1/17)*1000))*1,(s_TR/(s_RadSpec!G3*s_EF_cw*s_ED_con*s_ET_cw_o*(1/24)*s_IRA_cw*(1/s_PEF__sc)*1000))*1),".")</f>
        <v>1807.7268197950834</v>
      </c>
      <c r="Q3" s="22">
        <f>IFERROR((s_TR/(s_RadSpec!F3*s_EF_cw*(1/365)*s_ED_con*s_RadSpec!Q3*s_ET_cw_o*(1/24)*s_RadSpec!V3))*1,".")</f>
        <v>58788906.378991231</v>
      </c>
      <c r="R3" s="22">
        <f>(IF(AND(ISNUMBER(O3),ISNUMBER(P3),ISNUMBER(Q3)),1/((1/O3)+(1/P3)+(1/Q3)),IF(AND(ISNUMBER(O3),ISNUMBER(P3),NOT(ISNUMBER(Q3))), 1/((1/O3)+(1/P3)),IF(AND(ISNUMBER(O3),NOT(ISNUMBER(P3)),ISNUMBER(Q3)),1/((1/O3)+(1/Q3)),IF(AND(NOT(ISNUMBER(O3)),ISNUMBER(P3),ISNUMBER(Q3)),1/((1/P3)+(1/Q3)),IF(AND(ISNUMBER(O3),NOT(ISNUMBER(P3)),NOT(ISNUMBER(Q3))),1/((1/O3)),IF(AND(NOT(ISNUMBER(O3)),NOT(ISNUMBER(P3)),ISNUMBER(Q3)),1/((1/Q3)),IF(AND(NOT(ISNUMBER(O3)),ISNUMBER(P3),NOT(ISNUMBER(Q3))),1/((1/P3)),IF(AND(NOT(ISNUMBER(O3)),NOT(ISNUMBER(P3)),NOT(ISNUMBER(Q3))),".")))))))))</f>
        <v>1753.5732047957842</v>
      </c>
      <c r="S3" s="43">
        <f t="shared" si="4"/>
        <v>9.375</v>
      </c>
      <c r="T3" s="43">
        <f t="shared" si="5"/>
        <v>0.73288411253472296</v>
      </c>
      <c r="U3" s="43">
        <f>s_C*s_EF_cw*(1/365)*s_ED_con*(s_ET_cw_i+s_ET_cw_o)*(1/24)*s_RadSpec!V3*s_RadSpec!Q3*1</f>
        <v>3.0734106076571823E-5</v>
      </c>
      <c r="V3" s="11"/>
      <c r="W3" s="11"/>
      <c r="X3" s="11"/>
      <c r="Y3" s="11"/>
      <c r="Z3" s="22">
        <f>IFERROR((s_TR/(s_RadSpec!F3*s_EF_cw*(1/365)*s_ED_con*s_RadSpec!Q3*s_ET_cw_o*(1/24)*s_RadSpec!V3))*1,".")</f>
        <v>58788906.378991231</v>
      </c>
      <c r="AA3" s="22">
        <f>IFERROR((s_TR/(s_RadSpec!M3*s_EF_cw*(1/365)*s_ED_con*s_RadSpec!R3*s_ET_cw_o*(1/24)*s_RadSpec!W3))*1,".")</f>
        <v>165842966.40615806</v>
      </c>
      <c r="AB3" s="22">
        <f>IFERROR((s_TR/(s_RadSpec!N3*s_EF_cw*(1/365)*s_ED_con*s_RadSpec!S3*s_ET_cw_o*(1/24)*s_RadSpec!X3))*1,".")</f>
        <v>67080192.731080368</v>
      </c>
      <c r="AC3" s="22">
        <f>IFERROR((s_TR/(s_RadSpec!O3*s_EF_cw*(1/365)*s_ED_con*s_RadSpec!T3*s_ET_cw_o*(1/24)*s_RadSpec!Y3))*1,".")</f>
        <v>64420886.099516124</v>
      </c>
      <c r="AD3" s="22">
        <f>IFERROR((s_TR/(s_RadSpec!K3*s_EF_cw*(1/365)*s_ED_con*s_RadSpec!P3*s_ET_cw_o*(1/24)*s_RadSpec!U3))*1,".")</f>
        <v>189311359.51767519</v>
      </c>
      <c r="AE3" s="43">
        <f>s_C*s_EF_cw*(1/365)*s_ED_con*(s_ET_cw_i+s_ET_cw_o)*(1/24)*s_RadSpec!V3*s_RadSpec!Q3*1</f>
        <v>3.0734106076571823E-5</v>
      </c>
      <c r="AF3" s="43">
        <f>s_C*s_EF_cw*(1/365)*s_ED_con*(s_ET_cw_i+s_ET_cw_o)*(1/24)*s_RadSpec!W3*s_RadSpec!R3*1</f>
        <v>2.1919062016392501E-5</v>
      </c>
      <c r="AG3" s="43">
        <f>s_C*s_EF_cw*(1/365)*s_ED_con*(s_ET_cw_i+s_ET_cw_o)*(1/24)*s_RadSpec!X3*s_RadSpec!S3*1</f>
        <v>2.8911521161316707E-5</v>
      </c>
      <c r="AH3" s="43">
        <f>s_C*s_EF_cw*(1/365)*s_ED_con*(s_ET_cw_i+s_ET_cw_o)*(1/24)*s_RadSpec!Y3*s_RadSpec!T3*1</f>
        <v>2.8047184603863091E-5</v>
      </c>
      <c r="AI3" s="43">
        <f>s_C*s_EF_cw*(1/365)*s_ED_con*(s_ET_cw_i+s_ET_cw_o)*(1/24)*s_RadSpec!U3*s_RadSpec!P3*1</f>
        <v>1.4137338482463807E-5</v>
      </c>
      <c r="AJ3" s="11"/>
      <c r="AK3" s="11"/>
      <c r="AL3" s="11"/>
      <c r="AM3" s="11"/>
      <c r="AN3" s="11"/>
      <c r="AO3" s="22">
        <f>IFERROR(s_TR/(s_RadSpec!G3*s_EF_cw*s_ED_con*s_ET_cw_o*(1/24)*s_IRA_cw),".")</f>
        <v>0.56527115350644774</v>
      </c>
      <c r="AP3" s="22">
        <f>IFERROR(s_TR/(s_RadSpec!J3*s_EF_cw*(1/365)*s_ED_con*s_ET_cw_o*(1/24)*s_GSF_a),".")</f>
        <v>8050831.816147875</v>
      </c>
      <c r="AQ3" s="22">
        <f>IFERROR(IF(AND(ISNUMBER(AO3),ISNUMBER(AP3)),1/((1/AO3)+(1/AP3)),IF(AND(ISNUMBER(AO3),NOT(ISNUMBER(AP3))),1/((1/AO3)),IF(AND(NOT(ISNUMBER(AO3)),ISNUMBER(AP3)),1/((1/AP3)),IF(AND(NOT(ISNUMBER(AO3)),NOT(ISNUMBER(AP3))),".")))),".")</f>
        <v>0.56527111381720052</v>
      </c>
      <c r="AR3" s="43">
        <f t="shared" si="7"/>
        <v>2343.75</v>
      </c>
      <c r="AS3" s="43">
        <f t="shared" si="8"/>
        <v>0.10702054794520549</v>
      </c>
      <c r="AT3" s="10"/>
      <c r="AU3" s="10"/>
      <c r="AV3" s="10"/>
    </row>
    <row r="4" spans="1:48" x14ac:dyDescent="0.25">
      <c r="A4" s="23" t="s">
        <v>14</v>
      </c>
      <c r="B4" s="24" t="s">
        <v>289</v>
      </c>
      <c r="C4" s="2"/>
      <c r="D4" s="22" t="str">
        <f>IFERROR((s_TR/(s_RadSpec!I4*s_EF_cw*s_ED_con*s_IRS_cw*(1/1000)))*1,".")</f>
        <v>.</v>
      </c>
      <c r="E4" s="22" t="str">
        <f>IFERROR(IF(A4="H-3",(s_TR/(s_RadSpec!G4*s_EF_cw*s_ED_con*s_ET_cw_o*(1/24)*s_IRA_cw*(1/17)*1000))*1,(s_TR/(s_RadSpec!G4*s_EF_cw*s_ED_con*s_ET_cw_o*(1/24)*s_IRA_cw*(1/s_PEFsc)*1000))*1),".")</f>
        <v>.</v>
      </c>
      <c r="F4" s="22">
        <f>IFERROR((s_TR/(s_RadSpec!F4*s_EF_cw*(1/365)*s_ED_con*s_RadSpec!Q4*s_ET_cw_o*(1/24)*s_RadSpec!V4))*1,".")</f>
        <v>6467360.2771724528</v>
      </c>
      <c r="G4" s="22">
        <f t="shared" si="9"/>
        <v>6467360.2771724528</v>
      </c>
      <c r="H4" s="43">
        <f t="shared" si="1"/>
        <v>9.375</v>
      </c>
      <c r="I4" s="43">
        <f t="shared" si="2"/>
        <v>4.6093989487085221</v>
      </c>
      <c r="J4" s="43">
        <f>s_C*s_EF_cw*(1/365)*s_ED_con*(s_ET_cw_i+s_ET_cw_o)*(1/24)*s_RadSpec!V4*s_RadSpec!Q4*1</f>
        <v>8.2558708414872794E-3</v>
      </c>
      <c r="K4" s="4"/>
      <c r="L4" s="4"/>
      <c r="M4" s="4"/>
      <c r="N4" s="4"/>
      <c r="O4" s="22" t="str">
        <f>IFERROR((s_TR/(s_RadSpec!I4*s_EF_cw*s_ED_con*s_IRS_cw*(1/1000)))*1,".")</f>
        <v>.</v>
      </c>
      <c r="P4" s="22" t="str">
        <f>IFERROR(IF(A4="H-3",(s_TR/(s_RadSpec!G4*s_EF_cw*s_ED_con*s_ET_cw_o*(1/24)*s_IRA_cw*(1/17)*1000))*1,(s_TR/(s_RadSpec!G4*s_EF_cw*s_ED_con*s_ET_cw_o*(1/24)*s_IRA_cw*(1/s_PEF__sc)*1000))*1),".")</f>
        <v>.</v>
      </c>
      <c r="Q4" s="22">
        <f>IFERROR((s_TR/(s_RadSpec!F4*s_EF_cw*(1/365)*s_ED_con*s_RadSpec!Q4*s_ET_cw_o*(1/24)*s_RadSpec!V4))*1,".")</f>
        <v>6467360.2771724528</v>
      </c>
      <c r="R4" s="22">
        <f t="shared" ref="R4:R30" si="10">(IF(AND(ISNUMBER(O4),ISNUMBER(P4),ISNUMBER(Q4)),1/((1/O4)+(1/P4)+(1/Q4)),IF(AND(ISNUMBER(O4),ISNUMBER(P4),NOT(ISNUMBER(Q4))), 1/((1/O4)+(1/P4)),IF(AND(ISNUMBER(O4),NOT(ISNUMBER(P4)),ISNUMBER(Q4)),1/((1/O4)+(1/Q4)),IF(AND(NOT(ISNUMBER(O4)),ISNUMBER(P4),ISNUMBER(Q4)),1/((1/P4)+(1/Q4)),IF(AND(ISNUMBER(O4),NOT(ISNUMBER(P4)),NOT(ISNUMBER(Q4))),1/((1/O4)),IF(AND(NOT(ISNUMBER(O4)),NOT(ISNUMBER(P4)),ISNUMBER(Q4)),1/((1/Q4)),IF(AND(NOT(ISNUMBER(O4)),ISNUMBER(P4),NOT(ISNUMBER(Q4))),1/((1/P4)),IF(AND(NOT(ISNUMBER(O4)),NOT(ISNUMBER(P4)),NOT(ISNUMBER(Q4))),".")))))))))</f>
        <v>6467360.2771724528</v>
      </c>
      <c r="S4" s="43">
        <f t="shared" si="4"/>
        <v>9.375</v>
      </c>
      <c r="T4" s="43">
        <f t="shared" si="5"/>
        <v>0.73288411253472296</v>
      </c>
      <c r="U4" s="43">
        <f>s_C*s_EF_cw*(1/365)*s_ED_con*(s_ET_cw_i+s_ET_cw_o)*(1/24)*s_RadSpec!V4*s_RadSpec!Q4*1</f>
        <v>8.2558708414872794E-3</v>
      </c>
      <c r="V4" s="11"/>
      <c r="W4" s="11"/>
      <c r="X4" s="11"/>
      <c r="Y4" s="11"/>
      <c r="Z4" s="22">
        <f>IFERROR((s_TR/(s_RadSpec!F4*s_EF_cw*(1/365)*s_ED_con*s_RadSpec!Q4*s_ET_cw_o*(1/24)*s_RadSpec!V4))*1,".")</f>
        <v>6467360.2771724528</v>
      </c>
      <c r="AA4" s="22">
        <f>IFERROR((s_TR/(s_RadSpec!M4*s_EF_cw*(1/365)*s_ED_con*s_RadSpec!R4*s_ET_cw_o*(1/24)*s_RadSpec!W4))*1,".")</f>
        <v>45604585.480438128</v>
      </c>
      <c r="AB4" s="22">
        <f>IFERROR((s_TR/(s_RadSpec!N4*s_EF_cw*(1/365)*s_ED_con*s_RadSpec!S4*s_ET_cw_o*(1/24)*s_RadSpec!X4))*1,".")</f>
        <v>11892342.004236773</v>
      </c>
      <c r="AC4" s="22">
        <f>IFERROR((s_TR/(s_RadSpec!O4*s_EF_cw*(1/365)*s_ED_con*s_RadSpec!T4*s_ET_cw_o*(1/24)*s_RadSpec!Y4))*1,".")</f>
        <v>7048333.7996516516</v>
      </c>
      <c r="AD4" s="22">
        <f>IFERROR((s_TR/(s_RadSpec!K4*s_EF_cw*(1/365)*s_ED_con*s_RadSpec!P4*s_ET_cw_o*(1/24)*s_RadSpec!U4))*1,".")</f>
        <v>85886705.574485525</v>
      </c>
      <c r="AE4" s="43">
        <f>s_C*s_EF_cw*(1/365)*s_ED_con*(s_ET_cw_i+s_ET_cw_o)*(1/24)*s_RadSpec!V4*s_RadSpec!Q4*1</f>
        <v>8.2558708414872794E-3</v>
      </c>
      <c r="AF4" s="43">
        <f>s_C*s_EF_cw*(1/365)*s_ED_con*(s_ET_cw_i+s_ET_cw_o)*(1/24)*s_RadSpec!W4*s_RadSpec!R4*1</f>
        <v>5.0591531755915312E-3</v>
      </c>
      <c r="AG4" s="43">
        <f>s_C*s_EF_cw*(1/365)*s_ED_con*(s_ET_cw_i+s_ET_cw_o)*(1/24)*s_RadSpec!X4*s_RadSpec!S4*1</f>
        <v>7.0327788649706489E-3</v>
      </c>
      <c r="AH4" s="43">
        <f>s_C*s_EF_cw*(1/365)*s_ED_con*(s_ET_cw_i+s_ET_cw_o)*(1/24)*s_RadSpec!Y4*s_RadSpec!T4*1</f>
        <v>8.0790446642745282E-3</v>
      </c>
      <c r="AI4" s="43">
        <f>s_C*s_EF_cw*(1/365)*s_ED_con*(s_ET_cw_i+s_ET_cw_o)*(1/24)*s_RadSpec!U4*s_RadSpec!P4*1</f>
        <v>2.739472724325202E-3</v>
      </c>
      <c r="AJ4" s="11"/>
      <c r="AK4" s="11"/>
      <c r="AL4" s="11"/>
      <c r="AM4" s="11"/>
      <c r="AN4" s="11"/>
      <c r="AO4" s="22" t="str">
        <f>IFERROR(s_TR/(s_RadSpec!G4*s_EF_cw*s_ED_con*s_ET_cw_o*(1/24)*s_IRA_cw),".")</f>
        <v>.</v>
      </c>
      <c r="AP4" s="22">
        <f>IFERROR(s_TR/(s_RadSpec!J4*s_EF_cw*(1/365)*s_ED_con*s_ET_cw_o*(1/24)*s_GSF_a),".")</f>
        <v>478620025.43367141</v>
      </c>
      <c r="AQ4" s="22">
        <f t="shared" ref="AQ4:AQ30" si="11">IFERROR(IF(AND(ISNUMBER(AO4),ISNUMBER(AP4)),1/((1/AO4)+(1/AP4)),IF(AND(ISNUMBER(AO4),NOT(ISNUMBER(AP4))),1/((1/AO4)),IF(AND(NOT(ISNUMBER(AO4)),ISNUMBER(AP4)),1/((1/AP4)),IF(AND(NOT(ISNUMBER(AO4)),NOT(ISNUMBER(AP4))),".")))),".")</f>
        <v>478620025.43367147</v>
      </c>
      <c r="AR4" s="43">
        <f t="shared" si="7"/>
        <v>2343.75</v>
      </c>
      <c r="AS4" s="43">
        <f t="shared" si="8"/>
        <v>0.10702054794520549</v>
      </c>
      <c r="AT4" s="10"/>
      <c r="AU4" s="10"/>
      <c r="AV4" s="10"/>
    </row>
    <row r="5" spans="1:48" x14ac:dyDescent="0.25">
      <c r="A5" s="23" t="s">
        <v>15</v>
      </c>
      <c r="B5" s="24" t="s">
        <v>289</v>
      </c>
      <c r="C5" s="109"/>
      <c r="D5" s="22" t="str">
        <f>IFERROR((s_TR/(s_RadSpec!I5*s_EF_cw*s_ED_con*s_IRS_cw*(1/1000)))*1,".")</f>
        <v>.</v>
      </c>
      <c r="E5" s="22" t="str">
        <f>IFERROR(IF(A5="H-3",(s_TR/(s_RadSpec!G5*s_EF_cw*s_ED_con*s_ET_cw_o*(1/24)*s_IRA_cw*(1/17)*1000))*1,(s_TR/(s_RadSpec!G5*s_EF_cw*s_ED_con*s_ET_cw_o*(1/24)*s_IRA_cw*(1/s_PEFsc)*1000))*1),".")</f>
        <v>.</v>
      </c>
      <c r="F5" s="22" t="str">
        <f>IFERROR((s_TR/(s_RadSpec!F5*s_EF_cw*(1/365)*s_ED_con*s_RadSpec!Q5*s_ET_cw_o*(1/24)*s_RadSpec!V5))*1,".")</f>
        <v>.</v>
      </c>
      <c r="G5" s="22" t="str">
        <f t="shared" si="9"/>
        <v>.</v>
      </c>
      <c r="H5" s="43">
        <f t="shared" si="1"/>
        <v>9.375</v>
      </c>
      <c r="I5" s="43">
        <f t="shared" si="2"/>
        <v>4.6093989487085221</v>
      </c>
      <c r="J5" s="43">
        <f>s_C*s_EF_cw*(1/365)*s_ED_con*(s_ET_cw_i+s_ET_cw_o)*(1/24)*s_RadSpec!V5*s_RadSpec!Q5*1</f>
        <v>0</v>
      </c>
      <c r="K5" s="4"/>
      <c r="L5" s="4"/>
      <c r="M5" s="4"/>
      <c r="N5" s="4"/>
      <c r="O5" s="22" t="str">
        <f>IFERROR((s_TR/(s_RadSpec!I5*s_EF_cw*s_ED_con*s_IRS_cw*(1/1000)))*1,".")</f>
        <v>.</v>
      </c>
      <c r="P5" s="22" t="str">
        <f>IFERROR(IF(A5="H-3",(s_TR/(s_RadSpec!G5*s_EF_cw*s_ED_con*s_ET_cw_o*(1/24)*s_IRA_cw*(1/17)*1000))*1,(s_TR/(s_RadSpec!G5*s_EF_cw*s_ED_con*s_ET_cw_o*(1/24)*s_IRA_cw*(1/s_PEF__sc)*1000))*1),".")</f>
        <v>.</v>
      </c>
      <c r="Q5" s="22" t="str">
        <f>IFERROR((s_TR/(s_RadSpec!F5*s_EF_cw*(1/365)*s_ED_con*s_RadSpec!Q5*s_ET_cw_o*(1/24)*s_RadSpec!V5))*1,".")</f>
        <v>.</v>
      </c>
      <c r="R5" s="22" t="str">
        <f t="shared" si="10"/>
        <v>.</v>
      </c>
      <c r="S5" s="43">
        <f t="shared" si="4"/>
        <v>9.375</v>
      </c>
      <c r="T5" s="43">
        <f t="shared" si="5"/>
        <v>0.73288411253472296</v>
      </c>
      <c r="U5" s="43">
        <f>s_C*s_EF_cw*(1/365)*s_ED_con*(s_ET_cw_i+s_ET_cw_o)*(1/24)*s_RadSpec!V5*s_RadSpec!Q5*1</f>
        <v>0</v>
      </c>
      <c r="V5" s="11"/>
      <c r="W5" s="11"/>
      <c r="X5" s="11"/>
      <c r="Y5" s="11"/>
      <c r="Z5" s="22" t="str">
        <f>IFERROR((s_TR/(s_RadSpec!F5*s_EF_cw*(1/365)*s_ED_con*s_RadSpec!Q5*s_ET_cw_o*(1/24)*s_RadSpec!V5))*1,".")</f>
        <v>.</v>
      </c>
      <c r="AA5" s="22" t="str">
        <f>IFERROR((s_TR/(s_RadSpec!M5*s_EF_cw*(1/365)*s_ED_con*s_RadSpec!R5*s_ET_cw_o*(1/24)*s_RadSpec!W5))*1,".")</f>
        <v>.</v>
      </c>
      <c r="AB5" s="22" t="str">
        <f>IFERROR((s_TR/(s_RadSpec!N5*s_EF_cw*(1/365)*s_ED_con*s_RadSpec!S5*s_ET_cw_o*(1/24)*s_RadSpec!X5))*1,".")</f>
        <v>.</v>
      </c>
      <c r="AC5" s="22" t="str">
        <f>IFERROR((s_TR/(s_RadSpec!O5*s_EF_cw*(1/365)*s_ED_con*s_RadSpec!T5*s_ET_cw_o*(1/24)*s_RadSpec!Y5))*1,".")</f>
        <v>.</v>
      </c>
      <c r="AD5" s="22" t="str">
        <f>IFERROR((s_TR/(s_RadSpec!K5*s_EF_cw*(1/365)*s_ED_con*s_RadSpec!P5*s_ET_cw_o*(1/24)*s_RadSpec!U5))*1,".")</f>
        <v>.</v>
      </c>
      <c r="AE5" s="43">
        <f>s_C*s_EF_cw*(1/365)*s_ED_con*(s_ET_cw_i+s_ET_cw_o)*(1/24)*s_RadSpec!V5*s_RadSpec!Q5*1</f>
        <v>0</v>
      </c>
      <c r="AF5" s="43">
        <f>s_C*s_EF_cw*(1/365)*s_ED_con*(s_ET_cw_i+s_ET_cw_o)*(1/24)*s_RadSpec!W5*s_RadSpec!R5*1</f>
        <v>0</v>
      </c>
      <c r="AG5" s="43">
        <f>s_C*s_EF_cw*(1/365)*s_ED_con*(s_ET_cw_i+s_ET_cw_o)*(1/24)*s_RadSpec!X5*s_RadSpec!S5*1</f>
        <v>0</v>
      </c>
      <c r="AH5" s="43">
        <f>s_C*s_EF_cw*(1/365)*s_ED_con*(s_ET_cw_i+s_ET_cw_o)*(1/24)*s_RadSpec!Y5*s_RadSpec!T5*1</f>
        <v>0</v>
      </c>
      <c r="AI5" s="43">
        <f>s_C*s_EF_cw*(1/365)*s_ED_con*(s_ET_cw_i+s_ET_cw_o)*(1/24)*s_RadSpec!U5*s_RadSpec!P5*1</f>
        <v>0</v>
      </c>
      <c r="AJ5" s="11"/>
      <c r="AK5" s="11"/>
      <c r="AL5" s="11"/>
      <c r="AM5" s="11"/>
      <c r="AN5" s="11"/>
      <c r="AO5" s="22" t="str">
        <f>IFERROR(s_TR/(s_RadSpec!G5*s_EF_cw*s_ED_con*s_ET_cw_o*(1/24)*s_IRA_cw),".")</f>
        <v>.</v>
      </c>
      <c r="AP5" s="22">
        <f>IFERROR(s_TR/(s_RadSpec!J5*s_EF_cw*(1/365)*s_ED_con*s_ET_cw_o*(1/24)*s_GSF_a),".")</f>
        <v>15156300805.399597</v>
      </c>
      <c r="AQ5" s="22">
        <f t="shared" si="11"/>
        <v>15156300805.399595</v>
      </c>
      <c r="AR5" s="43">
        <f t="shared" si="7"/>
        <v>2343.75</v>
      </c>
      <c r="AS5" s="43">
        <f t="shared" si="8"/>
        <v>0.10702054794520549</v>
      </c>
      <c r="AT5" s="10"/>
      <c r="AU5" s="10"/>
      <c r="AV5" s="10"/>
    </row>
    <row r="6" spans="1:48" x14ac:dyDescent="0.25">
      <c r="A6" s="23" t="s">
        <v>16</v>
      </c>
      <c r="B6" s="24" t="s">
        <v>289</v>
      </c>
      <c r="C6" s="2"/>
      <c r="D6" s="22" t="str">
        <f>IFERROR((s_TR/(s_RadSpec!I6*s_EF_cw*s_ED_con*s_IRS_cw*(1/1000)))*1,".")</f>
        <v>.</v>
      </c>
      <c r="E6" s="22" t="str">
        <f>IFERROR(IF(A6="H-3",(s_TR/(s_RadSpec!G6*s_EF_cw*s_ED_con*s_ET_cw_o*(1/24)*s_IRA_cw*(1/17)*1000))*1,(s_TR/(s_RadSpec!G6*s_EF_cw*s_ED_con*s_ET_cw_o*(1/24)*s_IRA_cw*(1/s_PEFsc)*1000))*1),".")</f>
        <v>.</v>
      </c>
      <c r="F6" s="22">
        <f>IFERROR((s_TR/(s_RadSpec!F6*s_EF_cw*(1/365)*s_ED_con*s_RadSpec!Q6*s_ET_cw_o*(1/24)*s_RadSpec!V6))*1,".")</f>
        <v>1159.0765790738237</v>
      </c>
      <c r="G6" s="22">
        <f t="shared" si="9"/>
        <v>1159.0765790738237</v>
      </c>
      <c r="H6" s="43">
        <f t="shared" si="1"/>
        <v>9.375</v>
      </c>
      <c r="I6" s="43">
        <f t="shared" si="2"/>
        <v>4.6093989487085221</v>
      </c>
      <c r="J6" s="43">
        <f>s_C*s_EF_cw*(1/365)*s_ED_con*(s_ET_cw_i+s_ET_cw_o)*(1/24)*s_RadSpec!V6*s_RadSpec!Q6*1</f>
        <v>1.60629144682705E-2</v>
      </c>
      <c r="K6" s="4"/>
      <c r="L6" s="4"/>
      <c r="M6" s="4"/>
      <c r="N6" s="4"/>
      <c r="O6" s="22" t="str">
        <f>IFERROR((s_TR/(s_RadSpec!I6*s_EF_cw*s_ED_con*s_IRS_cw*(1/1000)))*1,".")</f>
        <v>.</v>
      </c>
      <c r="P6" s="22" t="str">
        <f>IFERROR(IF(A6="H-3",(s_TR/(s_RadSpec!G6*s_EF_cw*s_ED_con*s_ET_cw_o*(1/24)*s_IRA_cw*(1/17)*1000))*1,(s_TR/(s_RadSpec!G6*s_EF_cw*s_ED_con*s_ET_cw_o*(1/24)*s_IRA_cw*(1/s_PEF__sc)*1000))*1),".")</f>
        <v>.</v>
      </c>
      <c r="Q6" s="22">
        <f>IFERROR((s_TR/(s_RadSpec!F6*s_EF_cw*(1/365)*s_ED_con*s_RadSpec!Q6*s_ET_cw_o*(1/24)*s_RadSpec!V6))*1,".")</f>
        <v>1159.0765790738237</v>
      </c>
      <c r="R6" s="22">
        <f t="shared" si="10"/>
        <v>1159.0765790738237</v>
      </c>
      <c r="S6" s="43">
        <f t="shared" si="4"/>
        <v>9.375</v>
      </c>
      <c r="T6" s="43">
        <f t="shared" si="5"/>
        <v>0.73288411253472296</v>
      </c>
      <c r="U6" s="43">
        <f>s_C*s_EF_cw*(1/365)*s_ED_con*(s_ET_cw_i+s_ET_cw_o)*(1/24)*s_RadSpec!V6*s_RadSpec!Q6*1</f>
        <v>1.60629144682705E-2</v>
      </c>
      <c r="V6" s="11"/>
      <c r="W6" s="11"/>
      <c r="X6" s="11"/>
      <c r="Y6" s="11"/>
      <c r="Z6" s="22">
        <f>IFERROR((s_TR/(s_RadSpec!F6*s_EF_cw*(1/365)*s_ED_con*s_RadSpec!Q6*s_ET_cw_o*(1/24)*s_RadSpec!V6))*1,".")</f>
        <v>1159.0765790738237</v>
      </c>
      <c r="AA6" s="22">
        <f>IFERROR((s_TR/(s_RadSpec!M6*s_EF_cw*(1/365)*s_ED_con*s_RadSpec!R6*s_ET_cw_o*(1/24)*s_RadSpec!W6))*1,".")</f>
        <v>10615.92961503173</v>
      </c>
      <c r="AB6" s="22">
        <f>IFERROR((s_TR/(s_RadSpec!N6*s_EF_cw*(1/365)*s_ED_con*s_RadSpec!S6*s_ET_cw_o*(1/24)*s_RadSpec!X6))*1,".")</f>
        <v>2660.2700817450759</v>
      </c>
      <c r="AC6" s="22">
        <f>IFERROR((s_TR/(s_RadSpec!O6*s_EF_cw*(1/365)*s_ED_con*s_RadSpec!T6*s_ET_cw_o*(1/24)*s_RadSpec!Y6))*1,".")</f>
        <v>1418.6954737628776</v>
      </c>
      <c r="AD6" s="22">
        <f>IFERROR((s_TR/(s_RadSpec!K6*s_EF_cw*(1/365)*s_ED_con*s_RadSpec!P6*s_ET_cw_o*(1/24)*s_RadSpec!U6))*1,".")</f>
        <v>18212.885909076238</v>
      </c>
      <c r="AE6" s="43">
        <f>s_C*s_EF_cw*(1/365)*s_ED_con*(s_ET_cw_i+s_ET_cw_o)*(1/24)*s_RadSpec!V6*s_RadSpec!Q6*1</f>
        <v>1.60629144682705E-2</v>
      </c>
      <c r="AF6" s="43">
        <f>s_C*s_EF_cw*(1/365)*s_ED_con*(s_ET_cw_i+s_ET_cw_o)*(1/24)*s_RadSpec!W6*s_RadSpec!R6*1</f>
        <v>8.6043621215609548E-3</v>
      </c>
      <c r="AG6" s="43">
        <f>s_C*s_EF_cw*(1/365)*s_ED_con*(s_ET_cw_i+s_ET_cw_o)*(1/24)*s_RadSpec!X6*s_RadSpec!S6*1</f>
        <v>1.2176069764157603E-2</v>
      </c>
      <c r="AH6" s="43">
        <f>s_C*s_EF_cw*(1/365)*s_ED_con*(s_ET_cw_i+s_ET_cw_o)*(1/24)*s_RadSpec!Y6*s_RadSpec!T6*1</f>
        <v>1.4723846086728914E-2</v>
      </c>
      <c r="AI6" s="43">
        <f>s_C*s_EF_cw*(1/365)*s_ED_con*(s_ET_cw_i+s_ET_cw_o)*(1/24)*s_RadSpec!U6*s_RadSpec!P6*1</f>
        <v>5.1223925902864247E-3</v>
      </c>
      <c r="AJ6" s="11"/>
      <c r="AK6" s="11"/>
      <c r="AL6" s="11"/>
      <c r="AM6" s="11"/>
      <c r="AN6" s="11"/>
      <c r="AO6" s="22" t="str">
        <f>IFERROR(s_TR/(s_RadSpec!G6*s_EF_cw*s_ED_con*s_ET_cw_o*(1/24)*s_IRA_cw),".")</f>
        <v>.</v>
      </c>
      <c r="AP6" s="22">
        <f>IFERROR(s_TR/(s_RadSpec!J6*s_EF_cw*(1/365)*s_ED_con*s_ET_cw_o*(1/24)*s_GSF_a),".")</f>
        <v>185243.67651043952</v>
      </c>
      <c r="AQ6" s="22">
        <f t="shared" si="11"/>
        <v>185243.67651043952</v>
      </c>
      <c r="AR6" s="43">
        <f t="shared" si="7"/>
        <v>2343.75</v>
      </c>
      <c r="AS6" s="43">
        <f t="shared" si="8"/>
        <v>0.10702054794520549</v>
      </c>
      <c r="AT6" s="10"/>
      <c r="AU6" s="10"/>
      <c r="AV6" s="10"/>
    </row>
    <row r="7" spans="1:48" x14ac:dyDescent="0.25">
      <c r="A7" s="23" t="s">
        <v>17</v>
      </c>
      <c r="B7" s="24" t="s">
        <v>289</v>
      </c>
      <c r="C7" s="109"/>
      <c r="D7" s="22">
        <f>IFERROR((s_TR/(s_RadSpec!I7*s_EF_cw*s_ED_con*s_IRS_cw*(1/1000)))*1,".")</f>
        <v>1427169.7440014272</v>
      </c>
      <c r="E7" s="22">
        <f>IFERROR(IF(A7="H-3",(s_TR/(s_RadSpec!G7*s_EF_cw*s_ED_con*s_ET_cw_o*(1/24)*s_IRA_cw*(1/17)*1000))*1,(s_TR/(s_RadSpec!G7*s_EF_cw*s_ED_con*s_ET_cw_o*(1/24)*s_IRA_cw*(1/s_PEFsc)*1000))*1),".")</f>
        <v>23835.203840466613</v>
      </c>
      <c r="F7" s="22">
        <f>IFERROR((s_TR/(s_RadSpec!F7*s_EF_cw*(1/365)*s_ED_con*s_RadSpec!Q7*s_ET_cw_o*(1/24)*s_RadSpec!V7))*1,".")</f>
        <v>2433858.5234948248</v>
      </c>
      <c r="G7" s="22">
        <f t="shared" si="9"/>
        <v>23220.008184364688</v>
      </c>
      <c r="H7" s="43">
        <f t="shared" si="1"/>
        <v>9.375</v>
      </c>
      <c r="I7" s="43">
        <f t="shared" si="2"/>
        <v>4.6093989487085221</v>
      </c>
      <c r="J7" s="43">
        <f>s_C*s_EF_cw*(1/365)*s_ED_con*(s_ET_cw_i+s_ET_cw_o)*(1/24)*s_RadSpec!V7*s_RadSpec!Q7*1</f>
        <v>7.4237038321484346E-3</v>
      </c>
      <c r="K7" s="4"/>
      <c r="L7" s="4"/>
      <c r="M7" s="4"/>
      <c r="N7" s="4"/>
      <c r="O7" s="22">
        <f>IFERROR((s_TR/(s_RadSpec!I7*s_EF_cw*s_ED_con*s_IRS_cw*(1/1000)))*1,".")</f>
        <v>1427169.7440014272</v>
      </c>
      <c r="P7" s="22">
        <f>IFERROR(IF(A7="H-3",(s_TR/(s_RadSpec!G7*s_EF_cw*s_ED_con*s_ET_cw_o*(1/24)*s_IRA_cw*(1/17)*1000))*1,(s_TR/(s_RadSpec!G7*s_EF_cw*s_ED_con*s_ET_cw_o*(1/24)*s_IRA_cw*(1/s_PEF__sc)*1000))*1),".")</f>
        <v>149909.05334886059</v>
      </c>
      <c r="Q7" s="22">
        <f>IFERROR((s_TR/(s_RadSpec!F7*s_EF_cw*(1/365)*s_ED_con*s_RadSpec!Q7*s_ET_cw_o*(1/24)*s_RadSpec!V7))*1,".")</f>
        <v>2433858.5234948248</v>
      </c>
      <c r="R7" s="22">
        <f t="shared" si="10"/>
        <v>128497.23012451324</v>
      </c>
      <c r="S7" s="43">
        <f t="shared" si="4"/>
        <v>9.375</v>
      </c>
      <c r="T7" s="43">
        <f t="shared" si="5"/>
        <v>0.73288411253472296</v>
      </c>
      <c r="U7" s="43">
        <f>s_C*s_EF_cw*(1/365)*s_ED_con*(s_ET_cw_i+s_ET_cw_o)*(1/24)*s_RadSpec!V7*s_RadSpec!Q7*1</f>
        <v>7.4237038321484346E-3</v>
      </c>
      <c r="V7" s="11"/>
      <c r="W7" s="11"/>
      <c r="X7" s="11"/>
      <c r="Y7" s="11"/>
      <c r="Z7" s="22">
        <f>IFERROR((s_TR/(s_RadSpec!F7*s_EF_cw*(1/365)*s_ED_con*s_RadSpec!Q7*s_ET_cw_o*(1/24)*s_RadSpec!V7))*1,".")</f>
        <v>2433858.5234948248</v>
      </c>
      <c r="AA7" s="22">
        <f>IFERROR((s_TR/(s_RadSpec!M7*s_EF_cw*(1/365)*s_ED_con*s_RadSpec!R7*s_ET_cw_o*(1/24)*s_RadSpec!W7))*1,".")</f>
        <v>11223785.46996581</v>
      </c>
      <c r="AB7" s="22">
        <f>IFERROR((s_TR/(s_RadSpec!N7*s_EF_cw*(1/365)*s_ED_con*s_RadSpec!S7*s_ET_cw_o*(1/24)*s_RadSpec!X7))*1,".")</f>
        <v>3819893.878073208</v>
      </c>
      <c r="AC7" s="22">
        <f>IFERROR((s_TR/(s_RadSpec!O7*s_EF_cw*(1/365)*s_ED_con*s_RadSpec!T7*s_ET_cw_o*(1/24)*s_RadSpec!Y7))*1,".")</f>
        <v>2688919.7038063756</v>
      </c>
      <c r="AD7" s="22">
        <f>IFERROR((s_TR/(s_RadSpec!K7*s_EF_cw*(1/365)*s_ED_con*s_RadSpec!P7*s_ET_cw_o*(1/24)*s_RadSpec!U7))*1,".")</f>
        <v>3802412.9434263934</v>
      </c>
      <c r="AE7" s="43">
        <f>s_C*s_EF_cw*(1/365)*s_ED_con*(s_ET_cw_i+s_ET_cw_o)*(1/24)*s_RadSpec!V7*s_RadSpec!Q7*1</f>
        <v>7.4237038321484346E-3</v>
      </c>
      <c r="AF7" s="43">
        <f>s_C*s_EF_cw*(1/365)*s_ED_con*(s_ET_cw_i+s_ET_cw_o)*(1/24)*s_RadSpec!W7*s_RadSpec!R7*1</f>
        <v>4.6664226707100265E-3</v>
      </c>
      <c r="AG7" s="43">
        <f>s_C*s_EF_cw*(1/365)*s_ED_con*(s_ET_cw_i+s_ET_cw_o)*(1/24)*s_RadSpec!X7*s_RadSpec!S7*1</f>
        <v>6.3694267515923561E-3</v>
      </c>
      <c r="AH7" s="43">
        <f>s_C*s_EF_cw*(1/365)*s_ED_con*(s_ET_cw_i+s_ET_cw_o)*(1/24)*s_RadSpec!Y7*s_RadSpec!T7*1</f>
        <v>6.9240252602124778E-3</v>
      </c>
      <c r="AI7" s="43">
        <f>s_C*s_EF_cw*(1/365)*s_ED_con*(s_ET_cw_i+s_ET_cw_o)*(1/24)*s_RadSpec!U7*s_RadSpec!P7*1</f>
        <v>2.7268106522681077E-3</v>
      </c>
      <c r="AJ7" s="11"/>
      <c r="AK7" s="11"/>
      <c r="AL7" s="11"/>
      <c r="AM7" s="11"/>
      <c r="AN7" s="11"/>
      <c r="AO7" s="22">
        <f>IFERROR(s_TR/(s_RadSpec!G7*s_EF_cw*s_ED_con*s_ET_cw_o*(1/24)*s_IRA_cw),".")</f>
        <v>46.876144437120061</v>
      </c>
      <c r="AP7" s="22">
        <f>IFERROR(s_TR/(s_RadSpec!J7*s_EF_cw*(1/365)*s_ED_con*s_ET_cw_o*(1/24)*s_GSF_a),".")</f>
        <v>88328110.653984398</v>
      </c>
      <c r="AQ7" s="22">
        <f t="shared" si="11"/>
        <v>46.876119559742577</v>
      </c>
      <c r="AR7" s="43">
        <f t="shared" si="7"/>
        <v>2343.75</v>
      </c>
      <c r="AS7" s="43">
        <f t="shared" si="8"/>
        <v>0.10702054794520549</v>
      </c>
      <c r="AT7" s="10"/>
      <c r="AU7" s="10"/>
      <c r="AV7" s="10"/>
    </row>
    <row r="8" spans="1:48" x14ac:dyDescent="0.25">
      <c r="A8" s="23" t="s">
        <v>18</v>
      </c>
      <c r="B8" s="24" t="s">
        <v>289</v>
      </c>
      <c r="C8" s="2"/>
      <c r="D8" s="22">
        <f>IFERROR((s_TR/(s_RadSpec!I8*s_EF_cw*s_ED_con*s_IRS_cw*(1/1000)))*1,".")</f>
        <v>16819620.08683129</v>
      </c>
      <c r="E8" s="22">
        <f>IFERROR(IF(A8="H-3",(s_TR/(s_RadSpec!G8*s_EF_cw*s_ED_con*s_ET_cw_o*(1/24)*s_IRA_cw*(1/17)*1000))*1,(s_TR/(s_RadSpec!G8*s_EF_cw*s_ED_con*s_ET_cw_o*(1/24)*s_IRA_cw*(1/s_PEFsc)*1000))*1),".")</f>
        <v>146586.50361886964</v>
      </c>
      <c r="F8" s="22">
        <f>IFERROR((s_TR/(s_RadSpec!F8*s_EF_cw*(1/365)*s_ED_con*s_RadSpec!Q8*s_ET_cw_o*(1/24)*s_RadSpec!V8))*1,".")</f>
        <v>7131.1057077624228</v>
      </c>
      <c r="G8" s="22">
        <f t="shared" si="9"/>
        <v>6797.5386584904127</v>
      </c>
      <c r="H8" s="43">
        <f t="shared" si="1"/>
        <v>9.375</v>
      </c>
      <c r="I8" s="43">
        <f t="shared" si="2"/>
        <v>4.6093989487085221</v>
      </c>
      <c r="J8" s="43">
        <f>s_C*s_EF_cw*(1/365)*s_ED_con*(s_ET_cw_i+s_ET_cw_o)*(1/24)*s_RadSpec!V8*s_RadSpec!Q8*1</f>
        <v>1.2913812785388123E-2</v>
      </c>
      <c r="K8" s="4"/>
      <c r="L8" s="4"/>
      <c r="M8" s="4"/>
      <c r="N8" s="4"/>
      <c r="O8" s="22">
        <f>IFERROR((s_TR/(s_RadSpec!I8*s_EF_cw*s_ED_con*s_IRS_cw*(1/1000)))*1,".")</f>
        <v>16819620.08683129</v>
      </c>
      <c r="P8" s="22">
        <f>IFERROR(IF(A8="H-3",(s_TR/(s_RadSpec!G8*s_EF_cw*s_ED_con*s_ET_cw_o*(1/24)*s_IRA_cw*(1/17)*1000))*1,(s_TR/(s_RadSpec!G8*s_EF_cw*s_ED_con*s_ET_cw_o*(1/24)*s_IRA_cw*(1/s_PEF__sc)*1000))*1),".")</f>
        <v>921940.67809549253</v>
      </c>
      <c r="Q8" s="22">
        <f>IFERROR((s_TR/(s_RadSpec!F8*s_EF_cw*(1/365)*s_ED_con*s_RadSpec!Q8*s_ET_cw_o*(1/24)*s_RadSpec!V8))*1,".")</f>
        <v>7131.1057077624228</v>
      </c>
      <c r="R8" s="22">
        <f t="shared" si="10"/>
        <v>7073.3948618031045</v>
      </c>
      <c r="S8" s="43">
        <f t="shared" si="4"/>
        <v>9.375</v>
      </c>
      <c r="T8" s="43">
        <f t="shared" si="5"/>
        <v>0.73288411253472296</v>
      </c>
      <c r="U8" s="43">
        <f>s_C*s_EF_cw*(1/365)*s_ED_con*(s_ET_cw_i+s_ET_cw_o)*(1/24)*s_RadSpec!V8*s_RadSpec!Q8*1</f>
        <v>1.2913812785388123E-2</v>
      </c>
      <c r="V8" s="11"/>
      <c r="W8" s="11"/>
      <c r="X8" s="11"/>
      <c r="Y8" s="11"/>
      <c r="Z8" s="22">
        <f>IFERROR((s_TR/(s_RadSpec!F8*s_EF_cw*(1/365)*s_ED_con*s_RadSpec!Q8*s_ET_cw_o*(1/24)*s_RadSpec!V8))*1,".")</f>
        <v>7131.1057077624228</v>
      </c>
      <c r="AA8" s="22">
        <f>IFERROR((s_TR/(s_RadSpec!M8*s_EF_cw*(1/365)*s_ED_con*s_RadSpec!R8*s_ET_cw_o*(1/24)*s_RadSpec!W8))*1,".")</f>
        <v>60388.042907633848</v>
      </c>
      <c r="AB8" s="22">
        <f>IFERROR((s_TR/(s_RadSpec!N8*s_EF_cw*(1/365)*s_ED_con*s_RadSpec!S8*s_ET_cw_o*(1/24)*s_RadSpec!X8))*1,".")</f>
        <v>15777.7956909002</v>
      </c>
      <c r="AC8" s="22">
        <f>IFERROR((s_TR/(s_RadSpec!O8*s_EF_cw*(1/365)*s_ED_con*s_RadSpec!T8*s_ET_cw_o*(1/24)*s_RadSpec!Y8))*1,".")</f>
        <v>9562.3348929965923</v>
      </c>
      <c r="AD8" s="22">
        <f>IFERROR((s_TR/(s_RadSpec!K8*s_EF_cw*(1/365)*s_ED_con*s_RadSpec!P8*s_ET_cw_o*(1/24)*s_RadSpec!U8))*1,".")</f>
        <v>109502.22410260685</v>
      </c>
      <c r="AE8" s="43">
        <f>s_C*s_EF_cw*(1/365)*s_ED_con*(s_ET_cw_i+s_ET_cw_o)*(1/24)*s_RadSpec!V8*s_RadSpec!Q8*1</f>
        <v>1.2913812785388123E-2</v>
      </c>
      <c r="AF8" s="43">
        <f>s_C*s_EF_cw*(1/365)*s_ED_con*(s_ET_cw_i+s_ET_cw_o)*(1/24)*s_RadSpec!W8*s_RadSpec!R8*1</f>
        <v>7.0348173515981747E-3</v>
      </c>
      <c r="AG8" s="43">
        <f>s_C*s_EF_cw*(1/365)*s_ED_con*(s_ET_cw_i+s_ET_cw_o)*(1/24)*s_RadSpec!X8*s_RadSpec!S8*1</f>
        <v>9.6379647749510761E-3</v>
      </c>
      <c r="AH8" s="43">
        <f>s_C*s_EF_cw*(1/365)*s_ED_con*(s_ET_cw_i+s_ET_cw_o)*(1/24)*s_RadSpec!Y8*s_RadSpec!T8*1</f>
        <v>1.0512131005209337E-2</v>
      </c>
      <c r="AI8" s="43">
        <f>s_C*s_EF_cw*(1/365)*s_ED_con*(s_ET_cw_i+s_ET_cw_o)*(1/24)*s_RadSpec!U8*s_RadSpec!P8*1</f>
        <v>3.7966813437703855E-3</v>
      </c>
      <c r="AJ8" s="11"/>
      <c r="AK8" s="11"/>
      <c r="AL8" s="11"/>
      <c r="AM8" s="11"/>
      <c r="AN8" s="11"/>
      <c r="AO8" s="22">
        <f>IFERROR(s_TR/(s_RadSpec!G8*s_EF_cw*s_ED_con*s_ET_cw_o*(1/24)*s_IRA_cw),".")</f>
        <v>288.2882882882883</v>
      </c>
      <c r="AP8" s="22">
        <f>IFERROR(s_TR/(s_RadSpec!J8*s_EF_cw*(1/365)*s_ED_con*s_ET_cw_o*(1/24)*s_GSF_a),".")</f>
        <v>877470.04662839789</v>
      </c>
      <c r="AQ8" s="22">
        <f t="shared" si="11"/>
        <v>288.19360375627292</v>
      </c>
      <c r="AR8" s="43">
        <f t="shared" si="7"/>
        <v>2343.75</v>
      </c>
      <c r="AS8" s="43">
        <f t="shared" si="8"/>
        <v>0.10702054794520549</v>
      </c>
      <c r="AT8" s="10"/>
      <c r="AU8" s="10"/>
      <c r="AV8" s="10"/>
    </row>
    <row r="9" spans="1:48" x14ac:dyDescent="0.25">
      <c r="A9" s="23" t="s">
        <v>19</v>
      </c>
      <c r="B9" s="24" t="s">
        <v>289</v>
      </c>
      <c r="C9" s="109"/>
      <c r="D9" s="22">
        <f>IFERROR((s_TR/(s_RadSpec!I9*s_EF_cw*s_ED_con*s_IRS_cw*(1/1000)))*1,".")</f>
        <v>36217121.644257322</v>
      </c>
      <c r="E9" s="22">
        <f>IFERROR(IF(A9="H-3",(s_TR/(s_RadSpec!G9*s_EF_cw*s_ED_con*s_ET_cw_o*(1/24)*s_IRA_cw*(1/17)*1000))*1,(s_TR/(s_RadSpec!G9*s_EF_cw*s_ED_con*s_ET_cw_o*(1/24)*s_IRA_cw*(1/s_PEFsc)*1000))*1),".")</f>
        <v>175524.2923591643</v>
      </c>
      <c r="F9" s="22">
        <f>IFERROR((s_TR/(s_RadSpec!F9*s_EF_cw*(1/365)*s_ED_con*s_RadSpec!Q9*s_ET_cw_o*(1/24)*s_RadSpec!V9))*1,".")</f>
        <v>259.6299989979064</v>
      </c>
      <c r="G9" s="22">
        <f t="shared" si="9"/>
        <v>259.24467400049974</v>
      </c>
      <c r="H9" s="43">
        <f t="shared" si="1"/>
        <v>9.375</v>
      </c>
      <c r="I9" s="43">
        <f t="shared" si="2"/>
        <v>4.6093989487085221</v>
      </c>
      <c r="J9" s="43">
        <f>s_C*s_EF_cw*(1/365)*s_ED_con*(s_ET_cw_i+s_ET_cw_o)*(1/24)*s_RadSpec!V9*s_RadSpec!Q9*1</f>
        <v>2.6221576329398769E-2</v>
      </c>
      <c r="K9" s="4"/>
      <c r="L9" s="4"/>
      <c r="M9" s="4"/>
      <c r="N9" s="4"/>
      <c r="O9" s="22">
        <f>IFERROR((s_TR/(s_RadSpec!I9*s_EF_cw*s_ED_con*s_IRS_cw*(1/1000)))*1,".")</f>
        <v>36217121.644257322</v>
      </c>
      <c r="P9" s="22">
        <f>IFERROR(IF(A9="H-3",(s_TR/(s_RadSpec!G9*s_EF_cw*s_ED_con*s_ET_cw_o*(1/24)*s_IRA_cw*(1/17)*1000))*1,(s_TR/(s_RadSpec!G9*s_EF_cw*s_ED_con*s_ET_cw_o*(1/24)*s_IRA_cw*(1/s_PEF__sc)*1000))*1),".")</f>
        <v>1103941.9122826285</v>
      </c>
      <c r="Q9" s="22">
        <f>IFERROR((s_TR/(s_RadSpec!F9*s_EF_cw*(1/365)*s_ED_con*s_RadSpec!Q9*s_ET_cw_o*(1/24)*s_RadSpec!V9))*1,".")</f>
        <v>259.6299989979064</v>
      </c>
      <c r="R9" s="22">
        <f t="shared" si="10"/>
        <v>259.56709208674403</v>
      </c>
      <c r="S9" s="43">
        <f t="shared" si="4"/>
        <v>9.375</v>
      </c>
      <c r="T9" s="43">
        <f t="shared" si="5"/>
        <v>0.73288411253472296</v>
      </c>
      <c r="U9" s="43">
        <f>s_C*s_EF_cw*(1/365)*s_ED_con*(s_ET_cw_i+s_ET_cw_o)*(1/24)*s_RadSpec!V9*s_RadSpec!Q9*1</f>
        <v>2.6221576329398769E-2</v>
      </c>
      <c r="V9" s="11"/>
      <c r="W9" s="11"/>
      <c r="X9" s="11"/>
      <c r="Y9" s="11"/>
      <c r="Z9" s="22">
        <f>IFERROR((s_TR/(s_RadSpec!F9*s_EF_cw*(1/365)*s_ED_con*s_RadSpec!Q9*s_ET_cw_o*(1/24)*s_RadSpec!V9))*1,".")</f>
        <v>259.6299989979064</v>
      </c>
      <c r="AA9" s="22">
        <f>IFERROR((s_TR/(s_RadSpec!M9*s_EF_cw*(1/365)*s_ED_con*s_RadSpec!R9*s_ET_cw_o*(1/24)*s_RadSpec!W9))*1,".")</f>
        <v>2944.3715968236133</v>
      </c>
      <c r="AB9" s="22">
        <f>IFERROR((s_TR/(s_RadSpec!N9*s_EF_cw*(1/365)*s_ED_con*s_RadSpec!S9*s_ET_cw_o*(1/24)*s_RadSpec!X9))*1,".")</f>
        <v>721.03892413921005</v>
      </c>
      <c r="AC9" s="22">
        <f>IFERROR((s_TR/(s_RadSpec!O9*s_EF_cw*(1/365)*s_ED_con*s_RadSpec!T9*s_ET_cw_o*(1/24)*s_RadSpec!Y9))*1,".")</f>
        <v>368.8225291047811</v>
      </c>
      <c r="AD9" s="22">
        <f>IFERROR((s_TR/(s_RadSpec!K9*s_EF_cw*(1/365)*s_ED_con*s_RadSpec!P9*s_ET_cw_o*(1/24)*s_RadSpec!U9))*1,".")</f>
        <v>5385.9877184952011</v>
      </c>
      <c r="AE9" s="43">
        <f>s_C*s_EF_cw*(1/365)*s_ED_con*(s_ET_cw_i+s_ET_cw_o)*(1/24)*s_RadSpec!V9*s_RadSpec!Q9*1</f>
        <v>2.6221576329398769E-2</v>
      </c>
      <c r="AF9" s="43">
        <f>s_C*s_EF_cw*(1/365)*s_ED_con*(s_ET_cw_i+s_ET_cw_o)*(1/24)*s_RadSpec!W9*s_RadSpec!R9*1</f>
        <v>1.280245807194981E-2</v>
      </c>
      <c r="AG9" s="43">
        <f>s_C*s_EF_cw*(1/365)*s_ED_con*(s_ET_cw_i+s_ET_cw_o)*(1/24)*s_RadSpec!X9*s_RadSpec!S9*1</f>
        <v>1.8195142157587007E-2</v>
      </c>
      <c r="AH9" s="43">
        <f>s_C*s_EF_cw*(1/365)*s_ED_con*(s_ET_cw_i+s_ET_cw_o)*(1/24)*s_RadSpec!Y9*s_RadSpec!T9*1</f>
        <v>2.2072988013698634E-2</v>
      </c>
      <c r="AI9" s="43">
        <f>s_C*s_EF_cw*(1/365)*s_ED_con*(s_ET_cw_i+s_ET_cw_o)*(1/24)*s_RadSpec!U9*s_RadSpec!P9*1</f>
        <v>7.2278023722018017E-3</v>
      </c>
      <c r="AJ9" s="11"/>
      <c r="AK9" s="11"/>
      <c r="AL9" s="11"/>
      <c r="AM9" s="11"/>
      <c r="AN9" s="11"/>
      <c r="AO9" s="22">
        <f>IFERROR(s_TR/(s_RadSpec!G9*s_EF_cw*s_ED_con*s_ET_cw_o*(1/24)*s_IRA_cw),".")</f>
        <v>345.19956850053939</v>
      </c>
      <c r="AP9" s="22">
        <f>IFERROR(s_TR/(s_RadSpec!J9*s_EF_cw*(1/365)*s_ED_con*s_ET_cw_o*(1/24)*s_GSF_a),".")</f>
        <v>69830.077009170927</v>
      </c>
      <c r="AQ9" s="22">
        <f t="shared" si="11"/>
        <v>343.50149550525788</v>
      </c>
      <c r="AR9" s="43">
        <f t="shared" si="7"/>
        <v>2343.75</v>
      </c>
      <c r="AS9" s="43">
        <f t="shared" si="8"/>
        <v>0.10702054794520549</v>
      </c>
      <c r="AT9" s="10"/>
      <c r="AU9" s="10"/>
      <c r="AV9" s="10"/>
    </row>
    <row r="10" spans="1:48" x14ac:dyDescent="0.25">
      <c r="A10" s="25" t="s">
        <v>20</v>
      </c>
      <c r="B10" s="24" t="s">
        <v>275</v>
      </c>
      <c r="C10" s="2"/>
      <c r="D10" s="22">
        <f>IFERROR((s_TR/(s_RadSpec!I10*s_EF_cw*s_ED_con*s_IRS_cw*(1/1000)))*1,".")</f>
        <v>167804.59155313639</v>
      </c>
      <c r="E10" s="22">
        <f>IFERROR(IF(A10="H-3",(s_TR/(s_RadSpec!G10*s_EF_cw*s_ED_con*s_ET_cw_o*(1/24)*s_IRA_cw*(1/17)*1000))*1,(s_TR/(s_RadSpec!G10*s_EF_cw*s_ED_con*s_ET_cw_o*(1/24)*s_IRA_cw*(1/s_PEFsc)*1000))*1),".")</f>
        <v>96438.489222940567</v>
      </c>
      <c r="F10" s="22">
        <f>IFERROR((s_TR/(s_RadSpec!F10*s_EF_cw*(1/365)*s_ED_con*s_RadSpec!Q10*s_ET_cw_o*(1/24)*s_RadSpec!V10))*1,".")</f>
        <v>6606334.4374366337</v>
      </c>
      <c r="G10" s="22">
        <f t="shared" si="9"/>
        <v>60679.662288217463</v>
      </c>
      <c r="H10" s="43">
        <f t="shared" si="1"/>
        <v>9.375</v>
      </c>
      <c r="I10" s="43">
        <f t="shared" si="2"/>
        <v>4.6093989487085221</v>
      </c>
      <c r="J10" s="43">
        <f>s_C*s_EF_cw*(1/365)*s_ED_con*(s_ET_cw_i+s_ET_cw_o)*(1/24)*s_RadSpec!V10*s_RadSpec!Q10*1</f>
        <v>1.3703850651520216E-2</v>
      </c>
      <c r="K10" s="4"/>
      <c r="L10" s="4"/>
      <c r="M10" s="4"/>
      <c r="N10" s="4"/>
      <c r="O10" s="22">
        <f>IFERROR((s_TR/(s_RadSpec!I10*s_EF_cw*s_ED_con*s_IRS_cw*(1/1000)))*1,".")</f>
        <v>167804.59155313639</v>
      </c>
      <c r="P10" s="22">
        <f>IFERROR(IF(A10="H-3",(s_TR/(s_RadSpec!G10*s_EF_cw*s_ED_con*s_ET_cw_o*(1/24)*s_IRA_cw*(1/17)*1000))*1,(s_TR/(s_RadSpec!G10*s_EF_cw*s_ED_con*s_ET_cw_o*(1/24)*s_IRA_cw*(1/s_PEF__sc)*1000))*1),".")</f>
        <v>606539.91979966615</v>
      </c>
      <c r="Q10" s="22">
        <f>IFERROR((s_TR/(s_RadSpec!F10*s_EF_cw*(1/365)*s_ED_con*s_RadSpec!Q10*s_ET_cw_o*(1/24)*s_RadSpec!V10))*1,".")</f>
        <v>6606334.4374366337</v>
      </c>
      <c r="R10" s="22">
        <f t="shared" si="10"/>
        <v>128876.30157880019</v>
      </c>
      <c r="S10" s="43">
        <f t="shared" si="4"/>
        <v>9.375</v>
      </c>
      <c r="T10" s="43">
        <f t="shared" si="5"/>
        <v>0.73288411253472296</v>
      </c>
      <c r="U10" s="43">
        <f>s_C*s_EF_cw*(1/365)*s_ED_con*(s_ET_cw_i+s_ET_cw_o)*(1/24)*s_RadSpec!V10*s_RadSpec!Q10*1</f>
        <v>1.3703850651520216E-2</v>
      </c>
      <c r="V10" s="11"/>
      <c r="W10" s="11"/>
      <c r="X10" s="11"/>
      <c r="Y10" s="11"/>
      <c r="Z10" s="22">
        <f>IFERROR((s_TR/(s_RadSpec!F10*s_EF_cw*(1/365)*s_ED_con*s_RadSpec!Q10*s_ET_cw_o*(1/24)*s_RadSpec!V10))*1,".")</f>
        <v>6606334.4374366337</v>
      </c>
      <c r="AA10" s="22">
        <f>IFERROR((s_TR/(s_RadSpec!M10*s_EF_cw*(1/365)*s_ED_con*s_RadSpec!R10*s_ET_cw_o*(1/24)*s_RadSpec!W10))*1,".")</f>
        <v>29546494.866436254</v>
      </c>
      <c r="AB10" s="22">
        <f>IFERROR((s_TR/(s_RadSpec!N10*s_EF_cw*(1/365)*s_ED_con*s_RadSpec!S10*s_ET_cw_o*(1/24)*s_RadSpec!X10))*1,".")</f>
        <v>9574037.5268247984</v>
      </c>
      <c r="AC10" s="22">
        <f>IFERROR((s_TR/(s_RadSpec!O10*s_EF_cw*(1/365)*s_ED_con*s_RadSpec!T10*s_ET_cw_o*(1/24)*s_RadSpec!Y10))*1,".")</f>
        <v>6854285.3922771169</v>
      </c>
      <c r="AD10" s="22">
        <f>IFERROR((s_TR/(s_RadSpec!K10*s_EF_cw*(1/365)*s_ED_con*s_RadSpec!P10*s_ET_cw_o*(1/24)*s_RadSpec!U10))*1,".")</f>
        <v>17269275.959839504</v>
      </c>
      <c r="AE10" s="43">
        <f>s_C*s_EF_cw*(1/365)*s_ED_con*(s_ET_cw_i+s_ET_cw_o)*(1/24)*s_RadSpec!V10*s_RadSpec!Q10*1</f>
        <v>1.3703850651520216E-2</v>
      </c>
      <c r="AF10" s="43">
        <f>s_C*s_EF_cw*(1/365)*s_ED_con*(s_ET_cw_i+s_ET_cw_o)*(1/24)*s_RadSpec!W10*s_RadSpec!R10*1</f>
        <v>8.7942972007147152E-3</v>
      </c>
      <c r="AG10" s="43">
        <f>s_C*s_EF_cw*(1/365)*s_ED_con*(s_ET_cw_i+s_ET_cw_o)*(1/24)*s_RadSpec!X10*s_RadSpec!S10*1</f>
        <v>1.2314686148431973E-2</v>
      </c>
      <c r="AH10" s="43">
        <f>s_C*s_EF_cw*(1/365)*s_ED_con*(s_ET_cw_i+s_ET_cw_o)*(1/24)*s_RadSpec!Y10*s_RadSpec!T10*1</f>
        <v>1.3464311463590487E-2</v>
      </c>
      <c r="AI10" s="43">
        <f>s_C*s_EF_cw*(1/365)*s_ED_con*(s_ET_cw_i+s_ET_cw_o)*(1/24)*s_RadSpec!U10*s_RadSpec!P10*1</f>
        <v>5.2313266896059207E-3</v>
      </c>
      <c r="AJ10" s="11"/>
      <c r="AK10" s="11"/>
      <c r="AL10" s="11"/>
      <c r="AM10" s="11"/>
      <c r="AN10" s="11"/>
      <c r="AO10" s="22">
        <f>IFERROR(s_TR/(s_RadSpec!G10*s_EF_cw*s_ED_con*s_ET_cw_o*(1/24)*s_IRA_cw),".")</f>
        <v>189.66334755808444</v>
      </c>
      <c r="AP10" s="22">
        <f>IFERROR(s_TR/(s_RadSpec!J10*s_EF_cw*(1/365)*s_ED_con*s_ET_cw_o*(1/24)*s_GSF_a),".")</f>
        <v>287860677.16730171</v>
      </c>
      <c r="AQ10" s="22">
        <f t="shared" si="11"/>
        <v>189.66322259429273</v>
      </c>
      <c r="AR10" s="43">
        <f t="shared" si="7"/>
        <v>2343.75</v>
      </c>
      <c r="AS10" s="43">
        <f t="shared" si="8"/>
        <v>0.10702054794520549</v>
      </c>
      <c r="AT10" s="10"/>
      <c r="AU10" s="10"/>
      <c r="AV10" s="10"/>
    </row>
    <row r="11" spans="1:48" x14ac:dyDescent="0.25">
      <c r="A11" s="23" t="s">
        <v>21</v>
      </c>
      <c r="B11" s="24" t="s">
        <v>289</v>
      </c>
      <c r="C11" s="2"/>
      <c r="D11" s="22" t="str">
        <f>IFERROR((s_TR/(s_RadSpec!I11*s_EF_cw*s_ED_con*s_IRS_cw*(1/1000)))*1,".")</f>
        <v>.</v>
      </c>
      <c r="E11" s="22" t="str">
        <f>IFERROR(IF(A11="H-3",(s_TR/(s_RadSpec!G11*s_EF_cw*s_ED_con*s_ET_cw_o*(1/24)*s_IRA_cw*(1/17)*1000))*1,(s_TR/(s_RadSpec!G11*s_EF_cw*s_ED_con*s_ET_cw_o*(1/24)*s_IRA_cw*(1/s_PEFsc)*1000))*1),".")</f>
        <v>.</v>
      </c>
      <c r="F11" s="22">
        <f>IFERROR((s_TR/(s_RadSpec!F11*s_EF_cw*(1/365)*s_ED_con*s_RadSpec!Q11*s_ET_cw_o*(1/24)*s_RadSpec!V11))*1,".")</f>
        <v>104049.10487076499</v>
      </c>
      <c r="G11" s="22">
        <f t="shared" si="9"/>
        <v>104049.10487076499</v>
      </c>
      <c r="H11" s="43">
        <f t="shared" si="1"/>
        <v>9.375</v>
      </c>
      <c r="I11" s="43">
        <f t="shared" si="2"/>
        <v>4.6093989487085221</v>
      </c>
      <c r="J11" s="43">
        <f>s_C*s_EF_cw*(1/365)*s_ED_con*(s_ET_cw_i+s_ET_cw_o)*(1/24)*s_RadSpec!V11*s_RadSpec!Q11*1</f>
        <v>4.5829975825946827E-3</v>
      </c>
      <c r="K11" s="4"/>
      <c r="L11" s="4"/>
      <c r="M11" s="4"/>
      <c r="N11" s="4"/>
      <c r="O11" s="22" t="str">
        <f>IFERROR((s_TR/(s_RadSpec!I11*s_EF_cw*s_ED_con*s_IRS_cw*(1/1000)))*1,".")</f>
        <v>.</v>
      </c>
      <c r="P11" s="22" t="str">
        <f>IFERROR(IF(A11="H-3",(s_TR/(s_RadSpec!G11*s_EF_cw*s_ED_con*s_ET_cw_o*(1/24)*s_IRA_cw*(1/17)*1000))*1,(s_TR/(s_RadSpec!G11*s_EF_cw*s_ED_con*s_ET_cw_o*(1/24)*s_IRA_cw*(1/s_PEF__sc)*1000))*1),".")</f>
        <v>.</v>
      </c>
      <c r="Q11" s="22">
        <f>IFERROR((s_TR/(s_RadSpec!F11*s_EF_cw*(1/365)*s_ED_con*s_RadSpec!Q11*s_ET_cw_o*(1/24)*s_RadSpec!V11))*1,".")</f>
        <v>104049.10487076499</v>
      </c>
      <c r="R11" s="22">
        <f t="shared" si="10"/>
        <v>104049.10487076499</v>
      </c>
      <c r="S11" s="43">
        <f t="shared" si="4"/>
        <v>9.375</v>
      </c>
      <c r="T11" s="43">
        <f t="shared" si="5"/>
        <v>0.73288411253472296</v>
      </c>
      <c r="U11" s="43">
        <f>s_C*s_EF_cw*(1/365)*s_ED_con*(s_ET_cw_i+s_ET_cw_o)*(1/24)*s_RadSpec!V11*s_RadSpec!Q11*1</f>
        <v>4.5829975825946827E-3</v>
      </c>
      <c r="V11" s="11"/>
      <c r="W11" s="11"/>
      <c r="X11" s="11"/>
      <c r="Y11" s="11"/>
      <c r="Z11" s="22">
        <f>IFERROR((s_TR/(s_RadSpec!F11*s_EF_cw*(1/365)*s_ED_con*s_RadSpec!Q11*s_ET_cw_o*(1/24)*s_RadSpec!V11))*1,".")</f>
        <v>104049.10487076499</v>
      </c>
      <c r="AA11" s="22">
        <f>IFERROR((s_TR/(s_RadSpec!M11*s_EF_cw*(1/365)*s_ED_con*s_RadSpec!R11*s_ET_cw_o*(1/24)*s_RadSpec!W11))*1,".")</f>
        <v>539359.22958334105</v>
      </c>
      <c r="AB11" s="22">
        <f>IFERROR((s_TR/(s_RadSpec!N11*s_EF_cw*(1/365)*s_ED_con*s_RadSpec!S11*s_ET_cw_o*(1/24)*s_RadSpec!X11))*1,".")</f>
        <v>151712.28645350097</v>
      </c>
      <c r="AC11" s="22">
        <f>IFERROR((s_TR/(s_RadSpec!O11*s_EF_cw*(1/365)*s_ED_con*s_RadSpec!T11*s_ET_cw_o*(1/24)*s_RadSpec!Y11))*1,".")</f>
        <v>101042.98205467268</v>
      </c>
      <c r="AD11" s="22">
        <f>IFERROR((s_TR/(s_RadSpec!K11*s_EF_cw*(1/365)*s_ED_con*s_RadSpec!P11*s_ET_cw_o*(1/24)*s_RadSpec!U11))*1,".")</f>
        <v>1018958.3609072327</v>
      </c>
      <c r="AE11" s="43">
        <f>s_C*s_EF_cw*(1/365)*s_ED_con*(s_ET_cw_i+s_ET_cw_o)*(1/24)*s_RadSpec!V11*s_RadSpec!Q11*1</f>
        <v>4.5829975825946827E-3</v>
      </c>
      <c r="AF11" s="43">
        <f>s_C*s_EF_cw*(1/365)*s_ED_con*(s_ET_cw_i+s_ET_cw_o)*(1/24)*s_RadSpec!W11*s_RadSpec!R11*1</f>
        <v>3.6219766695205487E-3</v>
      </c>
      <c r="AG11" s="43">
        <f>s_C*s_EF_cw*(1/365)*s_ED_con*(s_ET_cw_i+s_ET_cw_o)*(1/24)*s_RadSpec!X11*s_RadSpec!S11*1</f>
        <v>4.6669352672575899E-3</v>
      </c>
      <c r="AH11" s="43">
        <f>s_C*s_EF_cw*(1/365)*s_ED_con*(s_ET_cw_i+s_ET_cw_o)*(1/24)*s_RadSpec!Y11*s_RadSpec!T11*1</f>
        <v>4.8993904437307457E-3</v>
      </c>
      <c r="AI11" s="43">
        <f>s_C*s_EF_cw*(1/365)*s_ED_con*(s_ET_cw_i+s_ET_cw_o)*(1/24)*s_RadSpec!U11*s_RadSpec!P11*1</f>
        <v>1.945602541195156E-3</v>
      </c>
      <c r="AJ11" s="11"/>
      <c r="AK11" s="11"/>
      <c r="AL11" s="11"/>
      <c r="AM11" s="11"/>
      <c r="AN11" s="11"/>
      <c r="AO11" s="22" t="str">
        <f>IFERROR(s_TR/(s_RadSpec!G11*s_EF_cw*s_ED_con*s_ET_cw_o*(1/24)*s_IRA_cw),".")</f>
        <v>.</v>
      </c>
      <c r="AP11" s="22">
        <f>IFERROR(s_TR/(s_RadSpec!J11*s_EF_cw*(1/365)*s_ED_con*s_ET_cw_o*(1/24)*s_GSF_a),".")</f>
        <v>4053964.9570673699</v>
      </c>
      <c r="AQ11" s="22">
        <f t="shared" si="11"/>
        <v>4053964.9570673699</v>
      </c>
      <c r="AR11" s="43">
        <f t="shared" si="7"/>
        <v>2343.75</v>
      </c>
      <c r="AS11" s="43">
        <f t="shared" si="8"/>
        <v>0.10702054794520549</v>
      </c>
      <c r="AT11" s="10"/>
      <c r="AU11" s="10"/>
      <c r="AV11" s="10"/>
    </row>
    <row r="12" spans="1:48" x14ac:dyDescent="0.25">
      <c r="A12" s="23" t="s">
        <v>22</v>
      </c>
      <c r="B12" s="24" t="s">
        <v>289</v>
      </c>
      <c r="C12" s="109"/>
      <c r="D12" s="22" t="str">
        <f>IFERROR((s_TR/(s_RadSpec!I12*s_EF_cw*s_ED_con*s_IRS_cw*(1/1000)))*1,".")</f>
        <v>.</v>
      </c>
      <c r="E12" s="22" t="str">
        <f>IFERROR(IF(A12="H-3",(s_TR/(s_RadSpec!G12*s_EF_cw*s_ED_con*s_ET_cw_o*(1/24)*s_IRA_cw*(1/17)*1000))*1,(s_TR/(s_RadSpec!G12*s_EF_cw*s_ED_con*s_ET_cw_o*(1/24)*s_IRA_cw*(1/s_PEFsc)*1000))*1),".")</f>
        <v>.</v>
      </c>
      <c r="F12" s="22">
        <f>IFERROR((s_TR/(s_RadSpec!F12*s_EF_cw*(1/365)*s_ED_con*s_RadSpec!Q12*s_ET_cw_o*(1/24)*s_RadSpec!V12))*1,".")</f>
        <v>10813.73258448144</v>
      </c>
      <c r="G12" s="22">
        <f t="shared" si="9"/>
        <v>10813.73258448144</v>
      </c>
      <c r="H12" s="43">
        <f t="shared" si="1"/>
        <v>9.375</v>
      </c>
      <c r="I12" s="43">
        <f t="shared" si="2"/>
        <v>4.6093989487085221</v>
      </c>
      <c r="J12" s="43">
        <f>s_C*s_EF_cw*(1/365)*s_ED_con*(s_ET_cw_i+s_ET_cw_o)*(1/24)*s_RadSpec!V12*s_RadSpec!Q12*1</f>
        <v>9.5650742682898658E-3</v>
      </c>
      <c r="K12" s="4"/>
      <c r="L12" s="4"/>
      <c r="M12" s="4"/>
      <c r="N12" s="4"/>
      <c r="O12" s="22" t="str">
        <f>IFERROR((s_TR/(s_RadSpec!I12*s_EF_cw*s_ED_con*s_IRS_cw*(1/1000)))*1,".")</f>
        <v>.</v>
      </c>
      <c r="P12" s="22" t="str">
        <f>IFERROR(IF(A12="H-3",(s_TR/(s_RadSpec!G12*s_EF_cw*s_ED_con*s_ET_cw_o*(1/24)*s_IRA_cw*(1/17)*1000))*1,(s_TR/(s_RadSpec!G12*s_EF_cw*s_ED_con*s_ET_cw_o*(1/24)*s_IRA_cw*(1/s_PEF__sc)*1000))*1),".")</f>
        <v>.</v>
      </c>
      <c r="Q12" s="22">
        <f>IFERROR((s_TR/(s_RadSpec!F12*s_EF_cw*(1/365)*s_ED_con*s_RadSpec!Q12*s_ET_cw_o*(1/24)*s_RadSpec!V12))*1,".")</f>
        <v>10813.73258448144</v>
      </c>
      <c r="R12" s="22">
        <f t="shared" si="10"/>
        <v>10813.73258448144</v>
      </c>
      <c r="S12" s="43">
        <f t="shared" si="4"/>
        <v>9.375</v>
      </c>
      <c r="T12" s="43">
        <f t="shared" si="5"/>
        <v>0.73288411253472296</v>
      </c>
      <c r="U12" s="43">
        <f>s_C*s_EF_cw*(1/365)*s_ED_con*(s_ET_cw_i+s_ET_cw_o)*(1/24)*s_RadSpec!V12*s_RadSpec!Q12*1</f>
        <v>9.5650742682898658E-3</v>
      </c>
      <c r="V12" s="11"/>
      <c r="W12" s="11"/>
      <c r="X12" s="11"/>
      <c r="Y12" s="11"/>
      <c r="Z12" s="22">
        <f>IFERROR((s_TR/(s_RadSpec!F12*s_EF_cw*(1/365)*s_ED_con*s_RadSpec!Q12*s_ET_cw_o*(1/24)*s_RadSpec!V12))*1,".")</f>
        <v>10813.73258448144</v>
      </c>
      <c r="AA12" s="22">
        <f>IFERROR((s_TR/(s_RadSpec!M12*s_EF_cw*(1/365)*s_ED_con*s_RadSpec!R12*s_ET_cw_o*(1/24)*s_RadSpec!W12))*1,".")</f>
        <v>85372.229409591208</v>
      </c>
      <c r="AB12" s="22">
        <f>IFERROR((s_TR/(s_RadSpec!N12*s_EF_cw*(1/365)*s_ED_con*s_RadSpec!S12*s_ET_cw_o*(1/24)*s_RadSpec!X12))*1,".")</f>
        <v>22194.256457000512</v>
      </c>
      <c r="AC12" s="22">
        <f>IFERROR((s_TR/(s_RadSpec!O12*s_EF_cw*(1/365)*s_ED_con*s_RadSpec!T12*s_ET_cw_o*(1/24)*s_RadSpec!Y12))*1,".")</f>
        <v>13289.932082508223</v>
      </c>
      <c r="AD12" s="22">
        <f>IFERROR((s_TR/(s_RadSpec!K12*s_EF_cw*(1/365)*s_ED_con*s_RadSpec!P12*s_ET_cw_o*(1/24)*s_RadSpec!U12))*1,".")</f>
        <v>144879.01895848784</v>
      </c>
      <c r="AE12" s="43">
        <f>s_C*s_EF_cw*(1/365)*s_ED_con*(s_ET_cw_i+s_ET_cw_o)*(1/24)*s_RadSpec!V12*s_RadSpec!Q12*1</f>
        <v>9.5650742682898658E-3</v>
      </c>
      <c r="AF12" s="43">
        <f>s_C*s_EF_cw*(1/365)*s_ED_con*(s_ET_cw_i+s_ET_cw_o)*(1/24)*s_RadSpec!W12*s_RadSpec!R12*1</f>
        <v>5.3315118855761477E-3</v>
      </c>
      <c r="AG12" s="43">
        <f>s_C*s_EF_cw*(1/365)*s_ED_con*(s_ET_cw_i+s_ET_cw_o)*(1/24)*s_RadSpec!X12*s_RadSpec!S12*1</f>
        <v>7.3529207038645766E-3</v>
      </c>
      <c r="AH12" s="43">
        <f>s_C*s_EF_cw*(1/365)*s_ED_con*(s_ET_cw_i+s_ET_cw_o)*(1/24)*s_RadSpec!Y12*s_RadSpec!T12*1</f>
        <v>8.3258884256501922E-3</v>
      </c>
      <c r="AI12" s="43">
        <f>s_C*s_EF_cw*(1/365)*s_ED_con*(s_ET_cw_i+s_ET_cw_o)*(1/24)*s_RadSpec!U12*s_RadSpec!P12*1</f>
        <v>3.0884948314984454E-3</v>
      </c>
      <c r="AJ12" s="11"/>
      <c r="AK12" s="11"/>
      <c r="AL12" s="11"/>
      <c r="AM12" s="11"/>
      <c r="AN12" s="11"/>
      <c r="AO12" s="22" t="str">
        <f>IFERROR(s_TR/(s_RadSpec!G12*s_EF_cw*s_ED_con*s_ET_cw_o*(1/24)*s_IRA_cw),".")</f>
        <v>.</v>
      </c>
      <c r="AP12" s="22">
        <f>IFERROR(s_TR/(s_RadSpec!J12*s_EF_cw*(1/365)*s_ED_con*s_ET_cw_o*(1/24)*s_GSF_a),".")</f>
        <v>941473.74414717522</v>
      </c>
      <c r="AQ12" s="22">
        <f t="shared" si="11"/>
        <v>941473.74414717534</v>
      </c>
      <c r="AR12" s="43">
        <f t="shared" si="7"/>
        <v>2343.75</v>
      </c>
      <c r="AS12" s="43">
        <f t="shared" si="8"/>
        <v>0.10702054794520549</v>
      </c>
      <c r="AT12" s="10"/>
      <c r="AU12" s="10"/>
      <c r="AV12" s="10"/>
    </row>
    <row r="13" spans="1:48" x14ac:dyDescent="0.25">
      <c r="A13" s="23" t="s">
        <v>23</v>
      </c>
      <c r="B13" s="24" t="s">
        <v>289</v>
      </c>
      <c r="C13" s="2"/>
      <c r="D13" s="22">
        <f>IFERROR((s_TR/(s_RadSpec!I13*s_EF_cw*s_ED_con*s_IRS_cw*(1/1000)))*1,".")</f>
        <v>113499.32609775133</v>
      </c>
      <c r="E13" s="22">
        <f>IFERROR(IF(A13="H-3",(s_TR/(s_RadSpec!G13*s_EF_cw*s_ED_con*s_ET_cw_o*(1/24)*s_IRA_cw*(1/17)*1000))*1,(s_TR/(s_RadSpec!G13*s_EF_cw*s_ED_con*s_ET_cw_o*(1/24)*s_IRA_cw*(1/s_PEFsc)*1000))*1),".")</f>
        <v>378.28775127450234</v>
      </c>
      <c r="F13" s="22">
        <f>IFERROR((s_TR/(s_RadSpec!F13*s_EF_cw*(1/365)*s_ED_con*s_RadSpec!Q13*s_ET_cw_o*(1/24)*s_RadSpec!V13))*1,".")</f>
        <v>776780.30935241934</v>
      </c>
      <c r="G13" s="22">
        <f t="shared" si="9"/>
        <v>376.84821144332909</v>
      </c>
      <c r="H13" s="43">
        <f t="shared" si="1"/>
        <v>9.375</v>
      </c>
      <c r="I13" s="43">
        <f t="shared" si="2"/>
        <v>4.6093989487085221</v>
      </c>
      <c r="J13" s="43">
        <f>s_C*s_EF_cw*(1/365)*s_ED_con*(s_ET_cw_i+s_ET_cw_o)*(1/24)*s_RadSpec!V13*s_RadSpec!Q13*1</f>
        <v>1.2444068093190673E-3</v>
      </c>
      <c r="K13" s="4"/>
      <c r="L13" s="4"/>
      <c r="M13" s="4"/>
      <c r="N13" s="4"/>
      <c r="O13" s="22">
        <f>IFERROR((s_TR/(s_RadSpec!I13*s_EF_cw*s_ED_con*s_IRS_cw*(1/1000)))*1,".")</f>
        <v>113499.32609775133</v>
      </c>
      <c r="P13" s="22">
        <f>IFERROR(IF(A13="H-3",(s_TR/(s_RadSpec!G13*s_EF_cw*s_ED_con*s_ET_cw_o*(1/24)*s_IRA_cw*(1/17)*1000))*1,(s_TR/(s_RadSpec!G13*s_EF_cw*s_ED_con*s_ET_cw_o*(1/24)*s_IRA_cw*(1/s_PEF__sc)*1000))*1),".")</f>
        <v>2379.2017499238518</v>
      </c>
      <c r="Q13" s="22">
        <f>IFERROR((s_TR/(s_RadSpec!F13*s_EF_cw*(1/365)*s_ED_con*s_RadSpec!Q13*s_ET_cw_o*(1/24)*s_RadSpec!V13))*1,".")</f>
        <v>776780.30935241934</v>
      </c>
      <c r="R13" s="22">
        <f t="shared" si="10"/>
        <v>2323.3821314350653</v>
      </c>
      <c r="S13" s="43">
        <f t="shared" si="4"/>
        <v>9.375</v>
      </c>
      <c r="T13" s="43">
        <f t="shared" si="5"/>
        <v>0.73288411253472296</v>
      </c>
      <c r="U13" s="43">
        <f>s_C*s_EF_cw*(1/365)*s_ED_con*(s_ET_cw_i+s_ET_cw_o)*(1/24)*s_RadSpec!V13*s_RadSpec!Q13*1</f>
        <v>1.2444068093190673E-3</v>
      </c>
      <c r="V13" s="11"/>
      <c r="W13" s="11"/>
      <c r="X13" s="11"/>
      <c r="Y13" s="11"/>
      <c r="Z13" s="22">
        <f>IFERROR((s_TR/(s_RadSpec!F13*s_EF_cw*(1/365)*s_ED_con*s_RadSpec!Q13*s_ET_cw_o*(1/24)*s_RadSpec!V13))*1,".")</f>
        <v>776780.30935241934</v>
      </c>
      <c r="AA13" s="22">
        <f>IFERROR((s_TR/(s_RadSpec!M13*s_EF_cw*(1/365)*s_ED_con*s_RadSpec!R13*s_ET_cw_o*(1/24)*s_RadSpec!W13))*1,".")</f>
        <v>5050043.5668634372</v>
      </c>
      <c r="AB13" s="22">
        <f>IFERROR((s_TR/(s_RadSpec!N13*s_EF_cw*(1/365)*s_ED_con*s_RadSpec!S13*s_ET_cw_o*(1/24)*s_RadSpec!X13))*1,".")</f>
        <v>1260828.6130423269</v>
      </c>
      <c r="AC13" s="22">
        <f>IFERROR((s_TR/(s_RadSpec!O13*s_EF_cw*(1/365)*s_ED_con*s_RadSpec!T13*s_ET_cw_o*(1/24)*s_RadSpec!Y13))*1,".")</f>
        <v>834558.6304714781</v>
      </c>
      <c r="AD13" s="22">
        <f>IFERROR((s_TR/(s_RadSpec!K13*s_EF_cw*(1/365)*s_ED_con*s_RadSpec!P13*s_ET_cw_o*(1/24)*s_RadSpec!U13))*1,".")</f>
        <v>40108563.887304969</v>
      </c>
      <c r="AE13" s="43">
        <f>s_C*s_EF_cw*(1/365)*s_ED_con*(s_ET_cw_i+s_ET_cw_o)*(1/24)*s_RadSpec!V13*s_RadSpec!Q13*1</f>
        <v>1.2444068093190673E-3</v>
      </c>
      <c r="AF13" s="43">
        <f>s_C*s_EF_cw*(1/365)*s_ED_con*(s_ET_cw_i+s_ET_cw_o)*(1/24)*s_RadSpec!W13*s_RadSpec!R13*1</f>
        <v>5.7062445351209554E-4</v>
      </c>
      <c r="AG13" s="43">
        <f>s_C*s_EF_cw*(1/365)*s_ED_con*(s_ET_cw_i+s_ET_cw_o)*(1/24)*s_RadSpec!X13*s_RadSpec!S13*1</f>
        <v>9.604969735584586E-4</v>
      </c>
      <c r="AH13" s="43">
        <f>s_C*s_EF_cw*(1/365)*s_ED_con*(s_ET_cw_i+s_ET_cw_o)*(1/24)*s_RadSpec!Y13*s_RadSpec!T13*1</f>
        <v>1.1635066531893064E-3</v>
      </c>
      <c r="AI13" s="43">
        <f>s_C*s_EF_cw*(1/365)*s_ED_con*(s_ET_cw_i+s_ET_cw_o)*(1/24)*s_RadSpec!U13*s_RadSpec!P13*1</f>
        <v>5.931365626323968E-5</v>
      </c>
      <c r="AJ13" s="11"/>
      <c r="AK13" s="11"/>
      <c r="AL13" s="11"/>
      <c r="AM13" s="11"/>
      <c r="AN13" s="11"/>
      <c r="AO13" s="22">
        <f>IFERROR(s_TR/(s_RadSpec!G13*s_EF_cw*s_ED_con*s_ET_cw_o*(1/24)*s_IRA_cw),".")</f>
        <v>0.74396977622784088</v>
      </c>
      <c r="AP13" s="22">
        <f>IFERROR(s_TR/(s_RadSpec!J13*s_EF_cw*(1/365)*s_ED_con*s_ET_cw_o*(1/24)*s_GSF_a),".")</f>
        <v>6090203.0633569155</v>
      </c>
      <c r="AQ13" s="22">
        <f t="shared" si="11"/>
        <v>0.74396968534565611</v>
      </c>
      <c r="AR13" s="43">
        <f t="shared" si="7"/>
        <v>2343.75</v>
      </c>
      <c r="AS13" s="43">
        <f t="shared" si="8"/>
        <v>0.10702054794520549</v>
      </c>
      <c r="AT13" s="10"/>
      <c r="AU13" s="10"/>
      <c r="AV13" s="10"/>
    </row>
    <row r="14" spans="1:48" x14ac:dyDescent="0.25">
      <c r="A14" s="23" t="s">
        <v>24</v>
      </c>
      <c r="B14" s="24" t="s">
        <v>289</v>
      </c>
      <c r="C14" s="2"/>
      <c r="D14" s="22">
        <f>IFERROR((s_TR/(s_RadSpec!I14*s_EF_cw*s_ED_con*s_IRS_cw*(1/1000)))*1,".")</f>
        <v>2065102.3516353031</v>
      </c>
      <c r="E14" s="22">
        <f>IFERROR(IF(A14="H-3",(s_TR/(s_RadSpec!G14*s_EF_cw*s_ED_con*s_ET_cw_o*(1/24)*s_IRA_cw*(1/17)*1000))*1,(s_TR/(s_RadSpec!G14*s_EF_cw*s_ED_con*s_ET_cw_o*(1/24)*s_IRA_cw*(1/s_PEFsc)*1000))*1),".")</f>
        <v>709862.00299694738</v>
      </c>
      <c r="F14" s="22">
        <f>IFERROR((s_TR/(s_RadSpec!F14*s_EF_cw*(1/365)*s_ED_con*s_RadSpec!Q14*s_ET_cw_o*(1/24)*s_RadSpec!V14))*1,".")</f>
        <v>7508.343807648961</v>
      </c>
      <c r="G14" s="22">
        <f t="shared" si="9"/>
        <v>7403.1231475701525</v>
      </c>
      <c r="H14" s="43">
        <f t="shared" si="1"/>
        <v>9.375</v>
      </c>
      <c r="I14" s="43">
        <f t="shared" si="2"/>
        <v>4.6093989487085221</v>
      </c>
      <c r="J14" s="43">
        <f>s_C*s_EF_cw*(1/365)*s_ED_con*(s_ET_cw_i+s_ET_cw_o)*(1/24)*s_RadSpec!V14*s_RadSpec!Q14*1</f>
        <v>8.2895646733403636E-3</v>
      </c>
      <c r="K14" s="4"/>
      <c r="L14" s="4"/>
      <c r="M14" s="4"/>
      <c r="N14" s="4"/>
      <c r="O14" s="22">
        <f>IFERROR((s_TR/(s_RadSpec!I14*s_EF_cw*s_ED_con*s_IRS_cw*(1/1000)))*1,".")</f>
        <v>2065102.3516353031</v>
      </c>
      <c r="P14" s="22">
        <f>IFERROR(IF(A14="H-3",(s_TR/(s_RadSpec!G14*s_EF_cw*s_ED_con*s_ET_cw_o*(1/24)*s_IRA_cw*(1/17)*1000))*1,(s_TR/(s_RadSpec!G14*s_EF_cw*s_ED_con*s_ET_cw_o*(1/24)*s_IRA_cw*(1/s_PEF__sc)*1000))*1),".")</f>
        <v>4464603.768016913</v>
      </c>
      <c r="Q14" s="22">
        <f>IFERROR((s_TR/(s_RadSpec!F14*s_EF_cw*(1/365)*s_ED_con*s_RadSpec!Q14*s_ET_cw_o*(1/24)*s_RadSpec!V14))*1,".")</f>
        <v>7508.343807648961</v>
      </c>
      <c r="R14" s="22">
        <f t="shared" si="10"/>
        <v>7468.6288447426286</v>
      </c>
      <c r="S14" s="43">
        <f t="shared" si="4"/>
        <v>9.375</v>
      </c>
      <c r="T14" s="43">
        <f t="shared" si="5"/>
        <v>0.73288411253472296</v>
      </c>
      <c r="U14" s="43">
        <f>s_C*s_EF_cw*(1/365)*s_ED_con*(s_ET_cw_i+s_ET_cw_o)*(1/24)*s_RadSpec!V14*s_RadSpec!Q14*1</f>
        <v>8.2895646733403636E-3</v>
      </c>
      <c r="V14" s="11"/>
      <c r="W14" s="11"/>
      <c r="X14" s="11"/>
      <c r="Y14" s="11"/>
      <c r="Z14" s="22">
        <f>IFERROR((s_TR/(s_RadSpec!F14*s_EF_cw*(1/365)*s_ED_con*s_RadSpec!Q14*s_ET_cw_o*(1/24)*s_RadSpec!V14))*1,".")</f>
        <v>7508.343807648961</v>
      </c>
      <c r="AA14" s="22">
        <f>IFERROR((s_TR/(s_RadSpec!M14*s_EF_cw*(1/365)*s_ED_con*s_RadSpec!R14*s_ET_cw_o*(1/24)*s_RadSpec!W14))*1,".")</f>
        <v>57484.798049429424</v>
      </c>
      <c r="AB14" s="22">
        <f>IFERROR((s_TR/(s_RadSpec!N14*s_EF_cw*(1/365)*s_ED_con*s_RadSpec!S14*s_ET_cw_o*(1/24)*s_RadSpec!X14))*1,".")</f>
        <v>15482.514739139149</v>
      </c>
      <c r="AC14" s="22">
        <f>IFERROR((s_TR/(s_RadSpec!O14*s_EF_cw*(1/365)*s_ED_con*s_RadSpec!T14*s_ET_cw_o*(1/24)*s_RadSpec!Y14))*1,".")</f>
        <v>9336.6195058311332</v>
      </c>
      <c r="AD14" s="22">
        <f>IFERROR((s_TR/(s_RadSpec!K14*s_EF_cw*(1/365)*s_ED_con*s_RadSpec!P14*s_ET_cw_o*(1/24)*s_RadSpec!U14))*1,".")</f>
        <v>162589.84256663523</v>
      </c>
      <c r="AE14" s="43">
        <f>s_C*s_EF_cw*(1/365)*s_ED_con*(s_ET_cw_i+s_ET_cw_o)*(1/24)*s_RadSpec!V14*s_RadSpec!Q14*1</f>
        <v>8.2895646733403636E-3</v>
      </c>
      <c r="AF14" s="43">
        <f>s_C*s_EF_cw*(1/365)*s_ED_con*(s_ET_cw_i+s_ET_cw_o)*(1/24)*s_RadSpec!W14*s_RadSpec!R14*1</f>
        <v>4.5644783215853151E-3</v>
      </c>
      <c r="AG14" s="43">
        <f>s_C*s_EF_cw*(1/365)*s_ED_con*(s_ET_cw_i+s_ET_cw_o)*(1/24)*s_RadSpec!X14*s_RadSpec!S14*1</f>
        <v>6.173689696247763E-3</v>
      </c>
      <c r="AH14" s="43">
        <f>s_C*s_EF_cw*(1/365)*s_ED_con*(s_ET_cw_i+s_ET_cw_o)*(1/24)*s_RadSpec!Y14*s_RadSpec!T14*1</f>
        <v>7.045205479452055E-3</v>
      </c>
      <c r="AI14" s="43">
        <f>s_C*s_EF_cw*(1/365)*s_ED_con*(s_ET_cw_i+s_ET_cw_o)*(1/24)*s_RadSpec!U14*s_RadSpec!P14*1</f>
        <v>1.6358558318925387E-3</v>
      </c>
      <c r="AJ14" s="11"/>
      <c r="AK14" s="11"/>
      <c r="AL14" s="11"/>
      <c r="AM14" s="11"/>
      <c r="AN14" s="11"/>
      <c r="AO14" s="22">
        <f>IFERROR(s_TR/(s_RadSpec!G14*s_EF_cw*s_ED_con*s_ET_cw_o*(1/24)*s_IRA_cw),".")</f>
        <v>1396.0691926793622</v>
      </c>
      <c r="AP14" s="22">
        <f>IFERROR(s_TR/(s_RadSpec!J14*s_EF_cw*(1/365)*s_ED_con*s_ET_cw_o*(1/24)*s_GSF_a),".")</f>
        <v>547368.45589952043</v>
      </c>
      <c r="AQ14" s="22">
        <f t="shared" si="11"/>
        <v>1392.5175615122037</v>
      </c>
      <c r="AR14" s="43">
        <f t="shared" si="7"/>
        <v>2343.75</v>
      </c>
      <c r="AS14" s="43">
        <f t="shared" si="8"/>
        <v>0.10702054794520549</v>
      </c>
      <c r="AT14" s="10"/>
      <c r="AU14" s="10"/>
      <c r="AV14" s="10"/>
    </row>
    <row r="15" spans="1:48" x14ac:dyDescent="0.25">
      <c r="A15" s="23" t="s">
        <v>25</v>
      </c>
      <c r="B15" s="24" t="s">
        <v>289</v>
      </c>
      <c r="C15" s="2"/>
      <c r="D15" s="22">
        <f>IFERROR((s_TR/(s_RadSpec!I15*s_EF_cw*s_ED_con*s_IRS_cw*(1/1000)))*1,".")</f>
        <v>43680043.680043682</v>
      </c>
      <c r="E15" s="22">
        <f>IFERROR(IF(A15="H-3",(s_TR/(s_RadSpec!G15*s_EF_cw*s_ED_con*s_ET_cw_o*(1/24)*s_IRA_cw*(1/17)*1000))*1,(s_TR/(s_RadSpec!G15*s_EF_cw*s_ED_con*s_ET_cw_o*(1/24)*s_IRA_cw*(1/s_PEFsc)*1000))*1),".")</f>
        <v>52166015.522729412</v>
      </c>
      <c r="F15" s="22" t="str">
        <f>IFERROR((s_TR/(s_RadSpec!F15*s_EF_cw*(1/365)*s_ED_con*s_RadSpec!Q15*s_ET_cw_o*(1/24)*s_RadSpec!V15))*1,".")</f>
        <v>.</v>
      </c>
      <c r="G15" s="22">
        <f t="shared" si="9"/>
        <v>23773683.08723047</v>
      </c>
      <c r="H15" s="43">
        <f t="shared" si="1"/>
        <v>9.375</v>
      </c>
      <c r="I15" s="43">
        <f t="shared" si="2"/>
        <v>4.6093989487085221</v>
      </c>
      <c r="J15" s="43">
        <f>s_C*s_EF_cw*(1/365)*s_ED_con*(s_ET_cw_i+s_ET_cw_o)*(1/24)*s_RadSpec!V15*s_RadSpec!Q15*1</f>
        <v>0</v>
      </c>
      <c r="K15" s="4"/>
      <c r="L15" s="4"/>
      <c r="M15" s="4"/>
      <c r="N15" s="4"/>
      <c r="O15" s="22">
        <f>IFERROR((s_TR/(s_RadSpec!I15*s_EF_cw*s_ED_con*s_IRS_cw*(1/1000)))*1,".")</f>
        <v>43680043.680043682</v>
      </c>
      <c r="P15" s="22">
        <f>IFERROR(IF(A15="H-3",(s_TR/(s_RadSpec!G15*s_EF_cw*s_ED_con*s_ET_cw_o*(1/24)*s_IRA_cw*(1/17)*1000))*1,(s_TR/(s_RadSpec!G15*s_EF_cw*s_ED_con*s_ET_cw_o*(1/24)*s_IRA_cw*(1/s_PEF__sc)*1000))*1),".")</f>
        <v>328092768.00551337</v>
      </c>
      <c r="Q15" s="22" t="str">
        <f>IFERROR((s_TR/(s_RadSpec!F15*s_EF_cw*(1/365)*s_ED_con*s_RadSpec!Q15*s_ET_cw_o*(1/24)*s_RadSpec!V15))*1,".")</f>
        <v>.</v>
      </c>
      <c r="R15" s="22">
        <f t="shared" si="10"/>
        <v>38548021.767951161</v>
      </c>
      <c r="S15" s="43">
        <f t="shared" si="4"/>
        <v>9.375</v>
      </c>
      <c r="T15" s="43">
        <f t="shared" si="5"/>
        <v>0.73288411253472296</v>
      </c>
      <c r="U15" s="43">
        <f>s_C*s_EF_cw*(1/365)*s_ED_con*(s_ET_cw_i+s_ET_cw_o)*(1/24)*s_RadSpec!V15*s_RadSpec!Q15*1</f>
        <v>0</v>
      </c>
      <c r="V15" s="11"/>
      <c r="W15" s="11"/>
      <c r="X15" s="11"/>
      <c r="Y15" s="11"/>
      <c r="Z15" s="22" t="str">
        <f>IFERROR((s_TR/(s_RadSpec!F15*s_EF_cw*(1/365)*s_ED_con*s_RadSpec!Q15*s_ET_cw_o*(1/24)*s_RadSpec!V15))*1,".")</f>
        <v>.</v>
      </c>
      <c r="AA15" s="22" t="str">
        <f>IFERROR((s_TR/(s_RadSpec!M15*s_EF_cw*(1/365)*s_ED_con*s_RadSpec!R15*s_ET_cw_o*(1/24)*s_RadSpec!W15))*1,".")</f>
        <v>.</v>
      </c>
      <c r="AB15" s="22" t="str">
        <f>IFERROR((s_TR/(s_RadSpec!N15*s_EF_cw*(1/365)*s_ED_con*s_RadSpec!S15*s_ET_cw_o*(1/24)*s_RadSpec!X15))*1,".")</f>
        <v>.</v>
      </c>
      <c r="AC15" s="22" t="str">
        <f>IFERROR((s_TR/(s_RadSpec!O15*s_EF_cw*(1/365)*s_ED_con*s_RadSpec!T15*s_ET_cw_o*(1/24)*s_RadSpec!Y15))*1,".")</f>
        <v>.</v>
      </c>
      <c r="AD15" s="22" t="str">
        <f>IFERROR((s_TR/(s_RadSpec!K15*s_EF_cw*(1/365)*s_ED_con*s_RadSpec!P15*s_ET_cw_o*(1/24)*s_RadSpec!U15))*1,".")</f>
        <v>.</v>
      </c>
      <c r="AE15" s="43">
        <f>s_C*s_EF_cw*(1/365)*s_ED_con*(s_ET_cw_i+s_ET_cw_o)*(1/24)*s_RadSpec!V15*s_RadSpec!Q15*1</f>
        <v>0</v>
      </c>
      <c r="AF15" s="43">
        <f>s_C*s_EF_cw*(1/365)*s_ED_con*(s_ET_cw_i+s_ET_cw_o)*(1/24)*s_RadSpec!W15*s_RadSpec!R15*1</f>
        <v>0</v>
      </c>
      <c r="AG15" s="43">
        <f>s_C*s_EF_cw*(1/365)*s_ED_con*(s_ET_cw_i+s_ET_cw_o)*(1/24)*s_RadSpec!X15*s_RadSpec!S15*1</f>
        <v>0</v>
      </c>
      <c r="AH15" s="43">
        <f>s_C*s_EF_cw*(1/365)*s_ED_con*(s_ET_cw_i+s_ET_cw_o)*(1/24)*s_RadSpec!Y15*s_RadSpec!T15*1</f>
        <v>0</v>
      </c>
      <c r="AI15" s="43">
        <f>s_C*s_EF_cw*(1/365)*s_ED_con*(s_ET_cw_i+s_ET_cw_o)*(1/24)*s_RadSpec!U15*s_RadSpec!P15*1</f>
        <v>0</v>
      </c>
      <c r="AJ15" s="11"/>
      <c r="AK15" s="11"/>
      <c r="AL15" s="11"/>
      <c r="AM15" s="11"/>
      <c r="AN15" s="11"/>
      <c r="AO15" s="22">
        <f>IFERROR(s_TR/(s_RadSpec!G15*s_EF_cw*s_ED_con*s_ET_cw_o*(1/24)*s_IRA_cw),".")</f>
        <v>102593.69689974672</v>
      </c>
      <c r="AP15" s="22">
        <f>IFERROR(s_TR/(s_RadSpec!J15*s_EF_cw*(1/365)*s_ED_con*s_ET_cw_o*(1/24)*s_GSF_a),".")</f>
        <v>274059137.85106122</v>
      </c>
      <c r="AQ15" s="22">
        <f t="shared" si="11"/>
        <v>102555.30544888986</v>
      </c>
      <c r="AR15" s="43">
        <f t="shared" si="7"/>
        <v>2343.75</v>
      </c>
      <c r="AS15" s="43">
        <f t="shared" si="8"/>
        <v>0.10702054794520549</v>
      </c>
      <c r="AT15" s="10"/>
      <c r="AU15" s="10"/>
      <c r="AV15" s="10"/>
    </row>
    <row r="16" spans="1:48" x14ac:dyDescent="0.25">
      <c r="A16" s="23" t="s">
        <v>26</v>
      </c>
      <c r="B16" s="24" t="s">
        <v>289</v>
      </c>
      <c r="C16" s="109"/>
      <c r="D16" s="22">
        <f>IFERROR((s_TR/(s_RadSpec!I16*s_EF_cw*s_ED_con*s_IRS_cw*(1/1000)))*1,".")</f>
        <v>8897.7866755644536</v>
      </c>
      <c r="E16" s="22">
        <f>IFERROR(IF(A16="H-3",(s_TR/(s_RadSpec!G16*s_EF_cw*s_ED_con*s_ET_cw_o*(1/24)*s_IRA_cw*(1/17)*1000))*1,(s_TR/(s_RadSpec!G16*s_EF_cw*s_ED_con*s_ET_cw_o*(1/24)*s_IRA_cw*(1/s_PEFsc)*1000))*1),".")</f>
        <v>683.38696325813362</v>
      </c>
      <c r="F16" s="22">
        <f>IFERROR((s_TR/(s_RadSpec!F16*s_EF_cw*(1/365)*s_ED_con*s_RadSpec!Q16*s_ET_cw_o*(1/24)*s_RadSpec!V16))*1,".")</f>
        <v>37828829821.826385</v>
      </c>
      <c r="G16" s="22">
        <f t="shared" si="9"/>
        <v>634.64368178039456</v>
      </c>
      <c r="H16" s="43">
        <f t="shared" si="1"/>
        <v>9.375</v>
      </c>
      <c r="I16" s="43">
        <f t="shared" si="2"/>
        <v>4.6093989487085221</v>
      </c>
      <c r="J16" s="43">
        <f>s_C*s_EF_cw*(1/365)*s_ED_con*(s_ET_cw_i+s_ET_cw_o)*(1/24)*s_RadSpec!V16*s_RadSpec!Q16*1</f>
        <v>8.9132827788649677E-7</v>
      </c>
      <c r="K16" s="4"/>
      <c r="L16" s="4"/>
      <c r="M16" s="4"/>
      <c r="N16" s="4"/>
      <c r="O16" s="22">
        <f>IFERROR((s_TR/(s_RadSpec!I16*s_EF_cw*s_ED_con*s_IRS_cw*(1/1000)))*1,".")</f>
        <v>8897.7866755644536</v>
      </c>
      <c r="P16" s="22">
        <f>IFERROR(IF(A16="H-3",(s_TR/(s_RadSpec!G16*s_EF_cw*s_ED_con*s_ET_cw_o*(1/24)*s_IRA_cw*(1/17)*1000))*1,(s_TR/(s_RadSpec!G16*s_EF_cw*s_ED_con*s_ET_cw_o*(1/24)*s_IRA_cw*(1/s_PEF__sc)*1000))*1),".")</f>
        <v>4298.091739372926</v>
      </c>
      <c r="Q16" s="22">
        <f>IFERROR((s_TR/(s_RadSpec!F16*s_EF_cw*(1/365)*s_ED_con*s_RadSpec!Q16*s_ET_cw_o*(1/24)*s_RadSpec!V16))*1,".")</f>
        <v>37828829821.826385</v>
      </c>
      <c r="R16" s="22">
        <f t="shared" si="10"/>
        <v>2898.1398036940614</v>
      </c>
      <c r="S16" s="43">
        <f t="shared" si="4"/>
        <v>9.375</v>
      </c>
      <c r="T16" s="43">
        <f t="shared" si="5"/>
        <v>0.73288411253472296</v>
      </c>
      <c r="U16" s="43">
        <f>s_C*s_EF_cw*(1/365)*s_ED_con*(s_ET_cw_i+s_ET_cw_o)*(1/24)*s_RadSpec!V16*s_RadSpec!Q16*1</f>
        <v>8.9132827788649677E-7</v>
      </c>
      <c r="V16" s="11"/>
      <c r="W16" s="11"/>
      <c r="X16" s="11"/>
      <c r="Y16" s="11"/>
      <c r="Z16" s="22">
        <f>IFERROR((s_TR/(s_RadSpec!F16*s_EF_cw*(1/365)*s_ED_con*s_RadSpec!Q16*s_ET_cw_o*(1/24)*s_RadSpec!V16))*1,".")</f>
        <v>37828829821.826385</v>
      </c>
      <c r="AA16" s="22">
        <f>IFERROR((s_TR/(s_RadSpec!M16*s_EF_cw*(1/365)*s_ED_con*s_RadSpec!R16*s_ET_cw_o*(1/24)*s_RadSpec!W16))*1,".")</f>
        <v>104855694760.77385</v>
      </c>
      <c r="AB16" s="22">
        <f>IFERROR((s_TR/(s_RadSpec!N16*s_EF_cw*(1/365)*s_ED_con*s_RadSpec!S16*s_ET_cw_o*(1/24)*s_RadSpec!X16))*1,".")</f>
        <v>40924091058.07431</v>
      </c>
      <c r="AC16" s="22">
        <f>IFERROR((s_TR/(s_RadSpec!O16*s_EF_cw*(1/365)*s_ED_con*s_RadSpec!T16*s_ET_cw_o*(1/24)*s_RadSpec!Y16))*1,".")</f>
        <v>40682080359.73008</v>
      </c>
      <c r="AD16" s="22">
        <f>IFERROR((s_TR/(s_RadSpec!K16*s_EF_cw*(1/365)*s_ED_con*s_RadSpec!P16*s_ET_cw_o*(1/24)*s_RadSpec!U16))*1,".")</f>
        <v>1360973949872.6172</v>
      </c>
      <c r="AE16" s="43">
        <f>s_C*s_EF_cw*(1/365)*s_ED_con*(s_ET_cw_i+s_ET_cw_o)*(1/24)*s_RadSpec!V16*s_RadSpec!Q16*1</f>
        <v>8.9132827788649677E-7</v>
      </c>
      <c r="AF16" s="43">
        <f>s_C*s_EF_cw*(1/365)*s_ED_con*(s_ET_cw_i+s_ET_cw_o)*(1/24)*s_RadSpec!W16*s_RadSpec!R16*1</f>
        <v>5.0047470500474693E-7</v>
      </c>
      <c r="AG16" s="43">
        <f>s_C*s_EF_cw*(1/365)*s_ED_con*(s_ET_cw_i+s_ET_cw_o)*(1/24)*s_RadSpec!X16*s_RadSpec!S16*1</f>
        <v>8.3309711680858912E-7</v>
      </c>
      <c r="AH16" s="43">
        <f>s_C*s_EF_cw*(1/365)*s_ED_con*(s_ET_cw_i+s_ET_cw_o)*(1/24)*s_RadSpec!Y16*s_RadSpec!T16*1</f>
        <v>8.2881468797564646E-7</v>
      </c>
      <c r="AI16" s="43">
        <f>s_C*s_EF_cw*(1/365)*s_ED_con*(s_ET_cw_i+s_ET_cw_o)*(1/24)*s_RadSpec!U16*s_RadSpec!P16*1</f>
        <v>2.1404109589041097E-8</v>
      </c>
      <c r="AJ16" s="11"/>
      <c r="AK16" s="11"/>
      <c r="AL16" s="11"/>
      <c r="AM16" s="11"/>
      <c r="AN16" s="11"/>
      <c r="AO16" s="22">
        <f>IFERROR(s_TR/(s_RadSpec!G16*s_EF_cw*s_ED_con*s_ET_cw_o*(1/24)*s_IRA_cw),".")</f>
        <v>1.3440013440013441</v>
      </c>
      <c r="AP16" s="22">
        <f>IFERROR(s_TR/(s_RadSpec!J16*s_EF_cw*(1/365)*s_ED_con*s_ET_cw_o*(1/24)*s_GSF_a),".")</f>
        <v>118731852.00669122</v>
      </c>
      <c r="AQ16" s="22">
        <f t="shared" si="11"/>
        <v>1.3440013287877381</v>
      </c>
      <c r="AR16" s="43">
        <f t="shared" si="7"/>
        <v>2343.75</v>
      </c>
      <c r="AS16" s="43">
        <f t="shared" si="8"/>
        <v>0.10702054794520549</v>
      </c>
      <c r="AT16" s="10"/>
      <c r="AU16" s="10"/>
      <c r="AV16" s="10"/>
    </row>
    <row r="17" spans="1:48" x14ac:dyDescent="0.25">
      <c r="A17" s="23" t="s">
        <v>27</v>
      </c>
      <c r="B17" s="24" t="s">
        <v>289</v>
      </c>
      <c r="C17" s="109"/>
      <c r="D17" s="22">
        <f>IFERROR((s_TR/(s_RadSpec!I17*s_EF_cw*s_ED_con*s_IRS_cw*(1/1000)))*1,".")</f>
        <v>24185259.084587947</v>
      </c>
      <c r="E17" s="22">
        <f>IFERROR(IF(A17="H-3",(s_TR/(s_RadSpec!G17*s_EF_cw*s_ED_con*s_ET_cw_o*(1/24)*s_IRA_cw*(1/17)*1000))*1,(s_TR/(s_RadSpec!G17*s_EF_cw*s_ED_con*s_ET_cw_o*(1/24)*s_IRA_cw*(1/s_PEFsc)*1000))*1),".")</f>
        <v>139606.19392273296</v>
      </c>
      <c r="F17" s="22">
        <f>IFERROR((s_TR/(s_RadSpec!F17*s_EF_cw*(1/365)*s_ED_con*s_RadSpec!Q17*s_ET_cw_o*(1/24)*s_RadSpec!V17))*1,".")</f>
        <v>5190.3397084128192</v>
      </c>
      <c r="G17" s="22">
        <f t="shared" si="9"/>
        <v>5003.2528645642606</v>
      </c>
      <c r="H17" s="43">
        <f t="shared" si="1"/>
        <v>9.375</v>
      </c>
      <c r="I17" s="43">
        <f t="shared" si="2"/>
        <v>4.6093989487085221</v>
      </c>
      <c r="J17" s="43">
        <f>s_C*s_EF_cw*(1/365)*s_ED_con*(s_ET_cw_i+s_ET_cw_o)*(1/24)*s_RadSpec!V17*s_RadSpec!Q17*1</f>
        <v>9.6948025785656786E-3</v>
      </c>
      <c r="K17" s="4"/>
      <c r="L17" s="4"/>
      <c r="M17" s="4"/>
      <c r="N17" s="4"/>
      <c r="O17" s="22">
        <f>IFERROR((s_TR/(s_RadSpec!I17*s_EF_cw*s_ED_con*s_IRS_cw*(1/1000)))*1,".")</f>
        <v>24185259.084587947</v>
      </c>
      <c r="P17" s="22">
        <f>IFERROR(IF(A17="H-3",(s_TR/(s_RadSpec!G17*s_EF_cw*s_ED_con*s_ET_cw_o*(1/24)*s_IRA_cw*(1/17)*1000))*1,(s_TR/(s_RadSpec!G17*s_EF_cw*s_ED_con*s_ET_cw_o*(1/24)*s_IRA_cw*(1/s_PEF__sc)*1000))*1),".")</f>
        <v>878038.7410433261</v>
      </c>
      <c r="Q17" s="22">
        <f>IFERROR((s_TR/(s_RadSpec!F17*s_EF_cw*(1/365)*s_ED_con*s_RadSpec!Q17*s_ET_cw_o*(1/24)*s_RadSpec!V17))*1,".")</f>
        <v>5190.3397084128192</v>
      </c>
      <c r="R17" s="22">
        <f t="shared" si="10"/>
        <v>5158.7378202172449</v>
      </c>
      <c r="S17" s="43">
        <f t="shared" si="4"/>
        <v>9.375</v>
      </c>
      <c r="T17" s="43">
        <f t="shared" si="5"/>
        <v>0.73288411253472296</v>
      </c>
      <c r="U17" s="43">
        <f>s_C*s_EF_cw*(1/365)*s_ED_con*(s_ET_cw_i+s_ET_cw_o)*(1/24)*s_RadSpec!V17*s_RadSpec!Q17*1</f>
        <v>9.6948025785656786E-3</v>
      </c>
      <c r="V17" s="11"/>
      <c r="W17" s="11"/>
      <c r="X17" s="11"/>
      <c r="Y17" s="11"/>
      <c r="Z17" s="22">
        <f>IFERROR((s_TR/(s_RadSpec!F17*s_EF_cw*(1/365)*s_ED_con*s_RadSpec!Q17*s_ET_cw_o*(1/24)*s_RadSpec!V17))*1,".")</f>
        <v>5190.3397084128192</v>
      </c>
      <c r="AA17" s="22">
        <f>IFERROR((s_TR/(s_RadSpec!M17*s_EF_cw*(1/365)*s_ED_con*s_RadSpec!R17*s_ET_cw_o*(1/24)*s_RadSpec!W17))*1,".")</f>
        <v>39873.939582175248</v>
      </c>
      <c r="AB17" s="22">
        <f>IFERROR((s_TR/(s_RadSpec!N17*s_EF_cw*(1/365)*s_ED_con*s_RadSpec!S17*s_ET_cw_o*(1/24)*s_RadSpec!X17))*1,".")</f>
        <v>10786.450329928795</v>
      </c>
      <c r="AC17" s="22">
        <f>IFERROR((s_TR/(s_RadSpec!O17*s_EF_cw*(1/365)*s_ED_con*s_RadSpec!T17*s_ET_cw_o*(1/24)*s_RadSpec!Y17))*1,".")</f>
        <v>6489.1070066586826</v>
      </c>
      <c r="AD17" s="22">
        <f>IFERROR((s_TR/(s_RadSpec!K17*s_EF_cw*(1/365)*s_ED_con*s_RadSpec!P17*s_ET_cw_o*(1/24)*s_RadSpec!U17))*1,".")</f>
        <v>77443.948334158398</v>
      </c>
      <c r="AE17" s="43">
        <f>s_C*s_EF_cw*(1/365)*s_ED_con*(s_ET_cw_i+s_ET_cw_o)*(1/24)*s_RadSpec!V17*s_RadSpec!Q17*1</f>
        <v>9.6948025785656786E-3</v>
      </c>
      <c r="AF17" s="43">
        <f>s_C*s_EF_cw*(1/365)*s_ED_con*(s_ET_cw_i+s_ET_cw_o)*(1/24)*s_RadSpec!W17*s_RadSpec!R17*1</f>
        <v>5.5471487734947431E-3</v>
      </c>
      <c r="AG17" s="43">
        <f>s_C*s_EF_cw*(1/365)*s_ED_con*(s_ET_cw_i+s_ET_cw_o)*(1/24)*s_RadSpec!X17*s_RadSpec!S17*1</f>
        <v>7.3626792594178089E-3</v>
      </c>
      <c r="AH17" s="43">
        <f>s_C*s_EF_cw*(1/365)*s_ED_con*(s_ET_cw_i+s_ET_cw_o)*(1/24)*s_RadSpec!Y17*s_RadSpec!T17*1</f>
        <v>8.2798230593607355E-3</v>
      </c>
      <c r="AI17" s="43">
        <f>s_C*s_EF_cw*(1/365)*s_ED_con*(s_ET_cw_i+s_ET_cw_o)*(1/24)*s_RadSpec!U17*s_RadSpec!P17*1</f>
        <v>2.8949659458211486E-3</v>
      </c>
      <c r="AJ17" s="11"/>
      <c r="AK17" s="11"/>
      <c r="AL17" s="11"/>
      <c r="AM17" s="11"/>
      <c r="AN17" s="11"/>
      <c r="AO17" s="22">
        <f>IFERROR(s_TR/(s_RadSpec!G17*s_EF_cw*s_ED_con*s_ET_cw_o*(1/24)*s_IRA_cw),".")</f>
        <v>274.56027456027454</v>
      </c>
      <c r="AP17" s="22">
        <f>IFERROR(s_TR/(s_RadSpec!J17*s_EF_cw*(1/365)*s_ED_con*s_ET_cw_o*(1/24)*s_GSF_a),".")</f>
        <v>458334.86971655145</v>
      </c>
      <c r="AQ17" s="22">
        <f t="shared" si="11"/>
        <v>274.39590082646777</v>
      </c>
      <c r="AR17" s="43">
        <f t="shared" si="7"/>
        <v>2343.75</v>
      </c>
      <c r="AS17" s="43">
        <f t="shared" si="8"/>
        <v>0.10702054794520549</v>
      </c>
      <c r="AT17" s="10"/>
      <c r="AU17" s="10"/>
      <c r="AV17" s="10"/>
    </row>
    <row r="18" spans="1:48" x14ac:dyDescent="0.25">
      <c r="A18" s="23" t="s">
        <v>28</v>
      </c>
      <c r="B18" s="24" t="s">
        <v>289</v>
      </c>
      <c r="C18" s="109"/>
      <c r="D18" s="22">
        <f>IFERROR((s_TR/(s_RadSpec!I18*s_EF_cw*s_ED_con*s_IRS_cw*(1/1000)))*1,".")</f>
        <v>3715.0552614470139</v>
      </c>
      <c r="E18" s="22">
        <f>IFERROR(IF(A18="H-3",(s_TR/(s_RadSpec!G18*s_EF_cw*s_ED_con*s_ET_cw_o*(1/24)*s_IRA_cw*(1/17)*1000))*1,(s_TR/(s_RadSpec!G18*s_EF_cw*s_ED_con*s_ET_cw_o*(1/24)*s_IRA_cw*(1/s_PEFsc)*1000))*1),".")</f>
        <v>747.89032458606982</v>
      </c>
      <c r="F18" s="22">
        <f>IFERROR((s_TR/(s_RadSpec!F18*s_EF_cw*(1/365)*s_ED_con*s_RadSpec!Q18*s_ET_cw_o*(1/24)*s_RadSpec!V18))*1,".")</f>
        <v>58280485.388985224</v>
      </c>
      <c r="G18" s="22">
        <f t="shared" si="9"/>
        <v>622.55390576698994</v>
      </c>
      <c r="H18" s="43">
        <f t="shared" si="1"/>
        <v>9.375</v>
      </c>
      <c r="I18" s="43">
        <f t="shared" si="2"/>
        <v>4.6093989487085221</v>
      </c>
      <c r="J18" s="43">
        <f>s_C*s_EF_cw*(1/365)*s_ED_con*(s_ET_cw_i+s_ET_cw_o)*(1/24)*s_RadSpec!V18*s_RadSpec!Q18*1</f>
        <v>1.9035042393337757E-2</v>
      </c>
      <c r="K18" s="4"/>
      <c r="L18" s="4"/>
      <c r="M18" s="4"/>
      <c r="N18" s="4"/>
      <c r="O18" s="22">
        <f>IFERROR((s_TR/(s_RadSpec!I18*s_EF_cw*s_ED_con*s_IRS_cw*(1/1000)))*1,".")</f>
        <v>3715.0552614470139</v>
      </c>
      <c r="P18" s="22">
        <f>IFERROR(IF(A18="H-3",(s_TR/(s_RadSpec!G18*s_EF_cw*s_ED_con*s_ET_cw_o*(1/24)*s_IRA_cw*(1/17)*1000))*1,(s_TR/(s_RadSpec!G18*s_EF_cw*s_ED_con*s_ET_cw_o*(1/24)*s_IRA_cw*(1/s_PEF__sc)*1000))*1),".")</f>
        <v>4703.778969874963</v>
      </c>
      <c r="Q18" s="22">
        <f>IFERROR((s_TR/(s_RadSpec!F18*s_EF_cw*(1/365)*s_ED_con*s_RadSpec!Q18*s_ET_cw_o*(1/24)*s_RadSpec!V18))*1,".")</f>
        <v>58280485.388985224</v>
      </c>
      <c r="R18" s="22">
        <f t="shared" si="10"/>
        <v>2075.6052419954931</v>
      </c>
      <c r="S18" s="43">
        <f t="shared" si="4"/>
        <v>9.375</v>
      </c>
      <c r="T18" s="43">
        <f t="shared" si="5"/>
        <v>0.73288411253472296</v>
      </c>
      <c r="U18" s="43">
        <f>s_C*s_EF_cw*(1/365)*s_ED_con*(s_ET_cw_i+s_ET_cw_o)*(1/24)*s_RadSpec!V18*s_RadSpec!Q18*1</f>
        <v>1.9035042393337757E-2</v>
      </c>
      <c r="V18" s="11"/>
      <c r="W18" s="11"/>
      <c r="X18" s="11"/>
      <c r="Y18" s="11"/>
      <c r="Z18" s="22">
        <f>IFERROR((s_TR/(s_RadSpec!F18*s_EF_cw*(1/365)*s_ED_con*s_RadSpec!Q18*s_ET_cw_o*(1/24)*s_RadSpec!V18))*1,".")</f>
        <v>58280485.388985224</v>
      </c>
      <c r="AA18" s="22">
        <f>IFERROR((s_TR/(s_RadSpec!M18*s_EF_cw*(1/365)*s_ED_con*s_RadSpec!R18*s_ET_cw_o*(1/24)*s_RadSpec!W18))*1,".")</f>
        <v>580813976.68057108</v>
      </c>
      <c r="AB18" s="22">
        <f>IFERROR((s_TR/(s_RadSpec!N18*s_EF_cw*(1/365)*s_ED_con*s_RadSpec!S18*s_ET_cw_o*(1/24)*s_RadSpec!X18))*1,".")</f>
        <v>143256733.5500702</v>
      </c>
      <c r="AC18" s="22">
        <f>IFERROR((s_TR/(s_RadSpec!O18*s_EF_cw*(1/365)*s_ED_con*s_RadSpec!T18*s_ET_cw_o*(1/24)*s_RadSpec!Y18))*1,".")</f>
        <v>76186183.241430804</v>
      </c>
      <c r="AD18" s="22">
        <f>IFERROR((s_TR/(s_RadSpec!K18*s_EF_cw*(1/365)*s_ED_con*s_RadSpec!P18*s_ET_cw_o*(1/24)*s_RadSpec!U18))*1,".")</f>
        <v>1015636471.1104118</v>
      </c>
      <c r="AE18" s="43">
        <f>s_C*s_EF_cw*(1/365)*s_ED_con*(s_ET_cw_i+s_ET_cw_o)*(1/24)*s_RadSpec!V18*s_RadSpec!Q18*1</f>
        <v>1.9035042393337757E-2</v>
      </c>
      <c r="AF18" s="43">
        <f>s_C*s_EF_cw*(1/365)*s_ED_con*(s_ET_cw_i+s_ET_cw_o)*(1/24)*s_RadSpec!W18*s_RadSpec!R18*1</f>
        <v>9.6199266015043056E-3</v>
      </c>
      <c r="AG18" s="43">
        <f>s_C*s_EF_cw*(1/365)*s_ED_con*(s_ET_cw_i+s_ET_cw_o)*(1/24)*s_RadSpec!X18*s_RadSpec!S18*1</f>
        <v>1.3736951905246157E-2</v>
      </c>
      <c r="AH18" s="43">
        <f>s_C*s_EF_cw*(1/365)*s_ED_con*(s_ET_cw_i+s_ET_cw_o)*(1/24)*s_RadSpec!Y18*s_RadSpec!T18*1</f>
        <v>1.6580147815257996E-2</v>
      </c>
      <c r="AI18" s="43">
        <f>s_C*s_EF_cw*(1/365)*s_ED_con*(s_ET_cw_i+s_ET_cw_o)*(1/24)*s_RadSpec!U18*s_RadSpec!P18*1</f>
        <v>5.6593916879498505E-3</v>
      </c>
      <c r="AJ18" s="11"/>
      <c r="AK18" s="11"/>
      <c r="AL18" s="11"/>
      <c r="AM18" s="11"/>
      <c r="AN18" s="11"/>
      <c r="AO18" s="22">
        <f>IFERROR(s_TR/(s_RadSpec!G18*s_EF_cw*s_ED_con*s_ET_cw_o*(1/24)*s_IRA_cw),".")</f>
        <v>1.4708586137157569</v>
      </c>
      <c r="AP18" s="22">
        <f>IFERROR(s_TR/(s_RadSpec!J18*s_EF_cw*(1/365)*s_ED_con*s_ET_cw_o*(1/24)*s_GSF_a),".")</f>
        <v>11176713443.087971</v>
      </c>
      <c r="AQ18" s="22">
        <f t="shared" si="11"/>
        <v>1.4708586135221913</v>
      </c>
      <c r="AR18" s="43">
        <f t="shared" si="7"/>
        <v>2343.75</v>
      </c>
      <c r="AS18" s="43">
        <f t="shared" si="8"/>
        <v>0.10702054794520549</v>
      </c>
      <c r="AT18" s="10"/>
      <c r="AU18" s="10"/>
      <c r="AV18" s="10"/>
    </row>
    <row r="19" spans="1:48" x14ac:dyDescent="0.25">
      <c r="A19" s="23" t="s">
        <v>29</v>
      </c>
      <c r="B19" s="24" t="s">
        <v>289</v>
      </c>
      <c r="C19" s="2"/>
      <c r="D19" s="22" t="str">
        <f>IFERROR((s_TR/(s_RadSpec!I19*s_EF_cw*s_ED_con*s_IRS_cw*(1/1000)))*1,".")</f>
        <v>.</v>
      </c>
      <c r="E19" s="22" t="str">
        <f>IFERROR(IF(A19="H-3",(s_TR/(s_RadSpec!G19*s_EF_cw*s_ED_con*s_ET_cw_o*(1/24)*s_IRA_cw*(1/17)*1000))*1,(s_TR/(s_RadSpec!G19*s_EF_cw*s_ED_con*s_ET_cw_o*(1/24)*s_IRA_cw*(1/s_PEFsc)*1000))*1),".")</f>
        <v>.</v>
      </c>
      <c r="F19" s="22">
        <f>IFERROR((s_TR/(s_RadSpec!F19*s_EF_cw*(1/365)*s_ED_con*s_RadSpec!Q19*s_ET_cw_o*(1/24)*s_RadSpec!V19))*1,".")</f>
        <v>15510174.501028256</v>
      </c>
      <c r="G19" s="22">
        <f t="shared" si="9"/>
        <v>15510174.501028255</v>
      </c>
      <c r="H19" s="43">
        <f t="shared" si="1"/>
        <v>9.375</v>
      </c>
      <c r="I19" s="43">
        <f t="shared" si="2"/>
        <v>4.6093989487085221</v>
      </c>
      <c r="J19" s="43">
        <f>s_C*s_EF_cw*(1/365)*s_ED_con*(s_ET_cw_i+s_ET_cw_o)*(1/24)*s_RadSpec!V19*s_RadSpec!Q19*1</f>
        <v>1.8654598825831703E-2</v>
      </c>
      <c r="K19" s="4"/>
      <c r="L19" s="4"/>
      <c r="M19" s="4"/>
      <c r="N19" s="4"/>
      <c r="O19" s="22" t="str">
        <f>IFERROR((s_TR/(s_RadSpec!I19*s_EF_cw*s_ED_con*s_IRS_cw*(1/1000)))*1,".")</f>
        <v>.</v>
      </c>
      <c r="P19" s="22" t="str">
        <f>IFERROR(IF(A19="H-3",(s_TR/(s_RadSpec!G19*s_EF_cw*s_ED_con*s_ET_cw_o*(1/24)*s_IRA_cw*(1/17)*1000))*1,(s_TR/(s_RadSpec!G19*s_EF_cw*s_ED_con*s_ET_cw_o*(1/24)*s_IRA_cw*(1/s_PEF__sc)*1000))*1),".")</f>
        <v>.</v>
      </c>
      <c r="Q19" s="22">
        <f>IFERROR((s_TR/(s_RadSpec!F19*s_EF_cw*(1/365)*s_ED_con*s_RadSpec!Q19*s_ET_cw_o*(1/24)*s_RadSpec!V19))*1,".")</f>
        <v>15510174.501028256</v>
      </c>
      <c r="R19" s="22">
        <f t="shared" si="10"/>
        <v>15510174.501028255</v>
      </c>
      <c r="S19" s="43">
        <f t="shared" si="4"/>
        <v>9.375</v>
      </c>
      <c r="T19" s="43">
        <f t="shared" si="5"/>
        <v>0.73288411253472296</v>
      </c>
      <c r="U19" s="43">
        <f>s_C*s_EF_cw*(1/365)*s_ED_con*(s_ET_cw_i+s_ET_cw_o)*(1/24)*s_RadSpec!V19*s_RadSpec!Q19*1</f>
        <v>1.8654598825831703E-2</v>
      </c>
      <c r="V19" s="11"/>
      <c r="W19" s="11"/>
      <c r="X19" s="11"/>
      <c r="Y19" s="11"/>
      <c r="Z19" s="22">
        <f>IFERROR((s_TR/(s_RadSpec!F19*s_EF_cw*(1/365)*s_ED_con*s_RadSpec!Q19*s_ET_cw_o*(1/24)*s_RadSpec!V19))*1,".")</f>
        <v>15510174.501028256</v>
      </c>
      <c r="AA19" s="22">
        <f>IFERROR((s_TR/(s_RadSpec!M19*s_EF_cw*(1/365)*s_ED_con*s_RadSpec!R19*s_ET_cw_o*(1/24)*s_RadSpec!W19))*1,".")</f>
        <v>153814678.72448963</v>
      </c>
      <c r="AB19" s="22">
        <f>IFERROR((s_TR/(s_RadSpec!N19*s_EF_cw*(1/365)*s_ED_con*s_RadSpec!S19*s_ET_cw_o*(1/24)*s_RadSpec!X19))*1,".")</f>
        <v>37860805.613578677</v>
      </c>
      <c r="AC19" s="22">
        <f>IFERROR((s_TR/(s_RadSpec!O19*s_EF_cw*(1/365)*s_ED_con*s_RadSpec!T19*s_ET_cw_o*(1/24)*s_RadSpec!Y19))*1,".")</f>
        <v>20276672.699115679</v>
      </c>
      <c r="AD19" s="22">
        <f>IFERROR((s_TR/(s_RadSpec!K19*s_EF_cw*(1/365)*s_ED_con*s_RadSpec!P19*s_ET_cw_o*(1/24)*s_RadSpec!U19))*1,".")</f>
        <v>272230695.99270982</v>
      </c>
      <c r="AE19" s="43">
        <f>s_C*s_EF_cw*(1/365)*s_ED_con*(s_ET_cw_i+s_ET_cw_o)*(1/24)*s_RadSpec!V19*s_RadSpec!Q19*1</f>
        <v>1.8654598825831703E-2</v>
      </c>
      <c r="AF19" s="43">
        <f>s_C*s_EF_cw*(1/365)*s_ED_con*(s_ET_cw_i+s_ET_cw_o)*(1/24)*s_RadSpec!W19*s_RadSpec!R19*1</f>
        <v>9.4053469224995301E-3</v>
      </c>
      <c r="AG19" s="43">
        <f>s_C*s_EF_cw*(1/365)*s_ED_con*(s_ET_cw_i+s_ET_cw_o)*(1/24)*s_RadSpec!X19*s_RadSpec!S19*1</f>
        <v>1.35680287903413E-2</v>
      </c>
      <c r="AH19" s="43">
        <f>s_C*s_EF_cw*(1/365)*s_ED_con*(s_ET_cw_i+s_ET_cw_o)*(1/24)*s_RadSpec!Y19*s_RadSpec!T19*1</f>
        <v>1.6245170354759402E-2</v>
      </c>
      <c r="AI19" s="43">
        <f>s_C*s_EF_cw*(1/365)*s_ED_con*(s_ET_cw_i+s_ET_cw_o)*(1/24)*s_RadSpec!U19*s_RadSpec!P19*1</f>
        <v>5.4617866543039996E-3</v>
      </c>
      <c r="AJ19" s="11"/>
      <c r="AK19" s="11"/>
      <c r="AL19" s="11"/>
      <c r="AM19" s="11"/>
      <c r="AN19" s="11"/>
      <c r="AO19" s="22" t="str">
        <f>IFERROR(s_TR/(s_RadSpec!G19*s_EF_cw*s_ED_con*s_ET_cw_o*(1/24)*s_IRA_cw),".")</f>
        <v>.</v>
      </c>
      <c r="AP19" s="22">
        <f>IFERROR(s_TR/(s_RadSpec!J19*s_EF_cw*(1/365)*s_ED_con*s_ET_cw_o*(1/24)*s_GSF_a),".")</f>
        <v>2899466241.0329666</v>
      </c>
      <c r="AQ19" s="22">
        <f t="shared" si="11"/>
        <v>2899466241.0329666</v>
      </c>
      <c r="AR19" s="43">
        <f t="shared" si="7"/>
        <v>2343.75</v>
      </c>
      <c r="AS19" s="43">
        <f t="shared" si="8"/>
        <v>0.10702054794520549</v>
      </c>
      <c r="AT19" s="10"/>
      <c r="AU19" s="10"/>
      <c r="AV19" s="10"/>
    </row>
    <row r="20" spans="1:48" x14ac:dyDescent="0.25">
      <c r="A20" s="23" t="s">
        <v>30</v>
      </c>
      <c r="B20" s="24" t="s">
        <v>289</v>
      </c>
      <c r="C20" s="109"/>
      <c r="D20" s="22" t="str">
        <f>IFERROR((s_TR/(s_RadSpec!I20*s_EF_cw*s_ED_con*s_IRS_cw*(1/1000)))*1,".")</f>
        <v>.</v>
      </c>
      <c r="E20" s="22" t="str">
        <f>IFERROR(IF(A20="H-3",(s_TR/(s_RadSpec!G20*s_EF_cw*s_ED_con*s_ET_cw_o*(1/24)*s_IRA_cw*(1/17)*1000))*1,(s_TR/(s_RadSpec!G20*s_EF_cw*s_ED_con*s_ET_cw_o*(1/24)*s_IRA_cw*(1/s_PEFsc)*1000))*1),".")</f>
        <v>.</v>
      </c>
      <c r="F20" s="22">
        <f>IFERROR((s_TR/(s_RadSpec!F20*s_EF_cw*(1/365)*s_ED_con*s_RadSpec!Q20*s_ET_cw_o*(1/24)*s_RadSpec!V20))*1,".")</f>
        <v>6839947.3247979535</v>
      </c>
      <c r="G20" s="22">
        <f t="shared" si="9"/>
        <v>6839947.3247979535</v>
      </c>
      <c r="H20" s="43">
        <f t="shared" si="1"/>
        <v>9.375</v>
      </c>
      <c r="I20" s="43">
        <f t="shared" si="2"/>
        <v>4.6093989487085221</v>
      </c>
      <c r="J20" s="43">
        <f>s_C*s_EF_cw*(1/365)*s_ED_con*(s_ET_cw_i+s_ET_cw_o)*(1/24)*s_RadSpec!V20*s_RadSpec!Q20*1</f>
        <v>1.8971322906369166E-2</v>
      </c>
      <c r="K20" s="4"/>
      <c r="L20" s="4"/>
      <c r="M20" s="4"/>
      <c r="N20" s="4"/>
      <c r="O20" s="22" t="str">
        <f>IFERROR((s_TR/(s_RadSpec!I20*s_EF_cw*s_ED_con*s_IRS_cw*(1/1000)))*1,".")</f>
        <v>.</v>
      </c>
      <c r="P20" s="22" t="str">
        <f>IFERROR(IF(A20="H-3",(s_TR/(s_RadSpec!G20*s_EF_cw*s_ED_con*s_ET_cw_o*(1/24)*s_IRA_cw*(1/17)*1000))*1,(s_TR/(s_RadSpec!G20*s_EF_cw*s_ED_con*s_ET_cw_o*(1/24)*s_IRA_cw*(1/s_PEF__sc)*1000))*1),".")</f>
        <v>.</v>
      </c>
      <c r="Q20" s="22">
        <f>IFERROR((s_TR/(s_RadSpec!F20*s_EF_cw*(1/365)*s_ED_con*s_RadSpec!Q20*s_ET_cw_o*(1/24)*s_RadSpec!V20))*1,".")</f>
        <v>6839947.3247979535</v>
      </c>
      <c r="R20" s="22">
        <f t="shared" si="10"/>
        <v>6839947.3247979535</v>
      </c>
      <c r="S20" s="43">
        <f t="shared" si="4"/>
        <v>9.375</v>
      </c>
      <c r="T20" s="43">
        <f t="shared" si="5"/>
        <v>0.73288411253472296</v>
      </c>
      <c r="U20" s="43">
        <f>s_C*s_EF_cw*(1/365)*s_ED_con*(s_ET_cw_i+s_ET_cw_o)*(1/24)*s_RadSpec!V20*s_RadSpec!Q20*1</f>
        <v>1.8971322906369166E-2</v>
      </c>
      <c r="V20" s="11"/>
      <c r="W20" s="11"/>
      <c r="X20" s="11"/>
      <c r="Y20" s="11"/>
      <c r="Z20" s="22">
        <f>IFERROR((s_TR/(s_RadSpec!F20*s_EF_cw*(1/365)*s_ED_con*s_RadSpec!Q20*s_ET_cw_o*(1/24)*s_RadSpec!V20))*1,".")</f>
        <v>6839947.3247979535</v>
      </c>
      <c r="AA20" s="22">
        <f>IFERROR((s_TR/(s_RadSpec!M20*s_EF_cw*(1/365)*s_ED_con*s_RadSpec!R20*s_ET_cw_o*(1/24)*s_RadSpec!W20))*1,".")</f>
        <v>68188999.666604385</v>
      </c>
      <c r="AB20" s="22">
        <f>IFERROR((s_TR/(s_RadSpec!N20*s_EF_cw*(1/365)*s_ED_con*s_RadSpec!S20*s_ET_cw_o*(1/24)*s_RadSpec!X20))*1,".")</f>
        <v>16926829.017019384</v>
      </c>
      <c r="AC20" s="22">
        <f>IFERROR((s_TR/(s_RadSpec!O20*s_EF_cw*(1/365)*s_ED_con*s_RadSpec!T20*s_ET_cw_o*(1/24)*s_RadSpec!Y20))*1,".")</f>
        <v>9049151.7122950368</v>
      </c>
      <c r="AD20" s="22">
        <f>IFERROR((s_TR/(s_RadSpec!K20*s_EF_cw*(1/365)*s_ED_con*s_RadSpec!P20*s_ET_cw_o*(1/24)*s_RadSpec!U20))*1,".")</f>
        <v>119260653.54126975</v>
      </c>
      <c r="AE20" s="43">
        <f>s_C*s_EF_cw*(1/365)*s_ED_con*(s_ET_cw_i+s_ET_cw_o)*(1/24)*s_RadSpec!V20*s_RadSpec!Q20*1</f>
        <v>1.8971322906369166E-2</v>
      </c>
      <c r="AF20" s="43">
        <f>s_C*s_EF_cw*(1/365)*s_ED_con*(s_ET_cw_i+s_ET_cw_o)*(1/24)*s_RadSpec!W20*s_RadSpec!R20*1</f>
        <v>9.6198842848634388E-3</v>
      </c>
      <c r="AG20" s="43">
        <f>s_C*s_EF_cw*(1/365)*s_ED_con*(s_ET_cw_i+s_ET_cw_o)*(1/24)*s_RadSpec!X20*s_RadSpec!S20*1</f>
        <v>1.3748992747784045E-2</v>
      </c>
      <c r="AH20" s="43">
        <f>s_C*s_EF_cw*(1/365)*s_ED_con*(s_ET_cw_i+s_ET_cw_o)*(1/24)*s_RadSpec!Y20*s_RadSpec!T20*1</f>
        <v>1.6374143835616434E-2</v>
      </c>
      <c r="AI20" s="43">
        <f>s_C*s_EF_cw*(1/365)*s_ED_con*(s_ET_cw_i+s_ET_cw_o)*(1/24)*s_RadSpec!U20*s_RadSpec!P20*1</f>
        <v>5.645598806455987E-3</v>
      </c>
      <c r="AJ20" s="11"/>
      <c r="AK20" s="11"/>
      <c r="AL20" s="11"/>
      <c r="AM20" s="11"/>
      <c r="AN20" s="11"/>
      <c r="AO20" s="22" t="str">
        <f>IFERROR(s_TR/(s_RadSpec!G20*s_EF_cw*s_ED_con*s_ET_cw_o*(1/24)*s_IRA_cw),".")</f>
        <v>.</v>
      </c>
      <c r="AP20" s="22">
        <f>IFERROR(s_TR/(s_RadSpec!J20*s_EF_cw*(1/365)*s_ED_con*s_ET_cw_o*(1/24)*s_GSF_a),".")</f>
        <v>1307602422.4266322</v>
      </c>
      <c r="AQ20" s="22">
        <f t="shared" si="11"/>
        <v>1307602422.4266322</v>
      </c>
      <c r="AR20" s="43">
        <f t="shared" si="7"/>
        <v>2343.75</v>
      </c>
      <c r="AS20" s="43">
        <f t="shared" si="8"/>
        <v>0.10702054794520549</v>
      </c>
      <c r="AT20" s="10"/>
      <c r="AU20" s="10"/>
      <c r="AV20" s="10"/>
    </row>
    <row r="21" spans="1:48" x14ac:dyDescent="0.25">
      <c r="A21" s="23" t="s">
        <v>31</v>
      </c>
      <c r="B21" s="24" t="s">
        <v>289</v>
      </c>
      <c r="C21" s="109"/>
      <c r="D21" s="22" t="str">
        <f>IFERROR((s_TR/(s_RadSpec!I21*s_EF_cw*s_ED_con*s_IRS_cw*(1/1000)))*1,".")</f>
        <v>.</v>
      </c>
      <c r="E21" s="22">
        <f>IFERROR(IF(A21="H-3",(s_TR/(s_RadSpec!G21*s_EF_cw*s_ED_con*s_ET_cw_o*(1/24)*s_IRA_cw*(1/17)*1000))*1,(s_TR/(s_RadSpec!G21*s_EF_cw*s_ED_con*s_ET_cw_o*(1/24)*s_IRA_cw*(1/s_PEFsc)*1000))*1),".")</f>
        <v>780388.58041700383</v>
      </c>
      <c r="F21" s="22" t="str">
        <f>IFERROR((s_TR/(s_RadSpec!F21*s_EF_cw*(1/365)*s_ED_con*s_RadSpec!Q21*s_ET_cw_o*(1/24)*s_RadSpec!V21))*1,".")</f>
        <v>.</v>
      </c>
      <c r="G21" s="22">
        <f t="shared" si="9"/>
        <v>780388.58041700383</v>
      </c>
      <c r="H21" s="43">
        <f t="shared" si="1"/>
        <v>9.375</v>
      </c>
      <c r="I21" s="43">
        <f t="shared" si="2"/>
        <v>4.6093989487085221</v>
      </c>
      <c r="J21" s="43">
        <f>s_C*s_EF_cw*(1/365)*s_ED_con*(s_ET_cw_i+s_ET_cw_o)*(1/24)*s_RadSpec!V21*s_RadSpec!Q21*1</f>
        <v>0</v>
      </c>
      <c r="K21" s="4"/>
      <c r="L21" s="4"/>
      <c r="M21" s="4"/>
      <c r="N21" s="4"/>
      <c r="O21" s="22" t="str">
        <f>IFERROR((s_TR/(s_RadSpec!I21*s_EF_cw*s_ED_con*s_IRS_cw*(1/1000)))*1,".")</f>
        <v>.</v>
      </c>
      <c r="P21" s="22">
        <f>IFERROR(IF(A21="H-3",(s_TR/(s_RadSpec!G21*s_EF_cw*s_ED_con*s_ET_cw_o*(1/24)*s_IRA_cw*(1/17)*1000))*1,(s_TR/(s_RadSpec!G21*s_EF_cw*s_ED_con*s_ET_cw_o*(1/24)*s_IRA_cw*(1/s_PEF__sc)*1000))*1),".")</f>
        <v>4908173.3941774433</v>
      </c>
      <c r="Q21" s="22" t="str">
        <f>IFERROR((s_TR/(s_RadSpec!F21*s_EF_cw*(1/365)*s_ED_con*s_RadSpec!Q21*s_ET_cw_o*(1/24)*s_RadSpec!V21))*1,".")</f>
        <v>.</v>
      </c>
      <c r="R21" s="22">
        <f t="shared" si="10"/>
        <v>4908173.3941774433</v>
      </c>
      <c r="S21" s="43">
        <f t="shared" si="4"/>
        <v>9.375</v>
      </c>
      <c r="T21" s="43">
        <f t="shared" si="5"/>
        <v>0.73288411253472296</v>
      </c>
      <c r="U21" s="43">
        <f>s_C*s_EF_cw*(1/365)*s_ED_con*(s_ET_cw_i+s_ET_cw_o)*(1/24)*s_RadSpec!V21*s_RadSpec!Q21*1</f>
        <v>0</v>
      </c>
      <c r="V21" s="11"/>
      <c r="W21" s="11"/>
      <c r="X21" s="11"/>
      <c r="Y21" s="11"/>
      <c r="Z21" s="22" t="str">
        <f>IFERROR((s_TR/(s_RadSpec!F21*s_EF_cw*(1/365)*s_ED_con*s_RadSpec!Q21*s_ET_cw_o*(1/24)*s_RadSpec!V21))*1,".")</f>
        <v>.</v>
      </c>
      <c r="AA21" s="22" t="str">
        <f>IFERROR((s_TR/(s_RadSpec!M21*s_EF_cw*(1/365)*s_ED_con*s_RadSpec!R21*s_ET_cw_o*(1/24)*s_RadSpec!W21))*1,".")</f>
        <v>.</v>
      </c>
      <c r="AB21" s="22" t="str">
        <f>IFERROR((s_TR/(s_RadSpec!N21*s_EF_cw*(1/365)*s_ED_con*s_RadSpec!S21*s_ET_cw_o*(1/24)*s_RadSpec!X21))*1,".")</f>
        <v>.</v>
      </c>
      <c r="AC21" s="22" t="str">
        <f>IFERROR((s_TR/(s_RadSpec!O21*s_EF_cw*(1/365)*s_ED_con*s_RadSpec!T21*s_ET_cw_o*(1/24)*s_RadSpec!Y21))*1,".")</f>
        <v>.</v>
      </c>
      <c r="AD21" s="22" t="str">
        <f>IFERROR((s_TR/(s_RadSpec!K21*s_EF_cw*(1/365)*s_ED_con*s_RadSpec!P21*s_ET_cw_o*(1/24)*s_RadSpec!U21))*1,".")</f>
        <v>.</v>
      </c>
      <c r="AE21" s="43">
        <f>s_C*s_EF_cw*(1/365)*s_ED_con*(s_ET_cw_i+s_ET_cw_o)*(1/24)*s_RadSpec!V21*s_RadSpec!Q21*1</f>
        <v>0</v>
      </c>
      <c r="AF21" s="43">
        <f>s_C*s_EF_cw*(1/365)*s_ED_con*(s_ET_cw_i+s_ET_cw_o)*(1/24)*s_RadSpec!W21*s_RadSpec!R21*1</f>
        <v>0</v>
      </c>
      <c r="AG21" s="43">
        <f>s_C*s_EF_cw*(1/365)*s_ED_con*(s_ET_cw_i+s_ET_cw_o)*(1/24)*s_RadSpec!X21*s_RadSpec!S21*1</f>
        <v>0</v>
      </c>
      <c r="AH21" s="43">
        <f>s_C*s_EF_cw*(1/365)*s_ED_con*(s_ET_cw_i+s_ET_cw_o)*(1/24)*s_RadSpec!Y21*s_RadSpec!T21*1</f>
        <v>0</v>
      </c>
      <c r="AI21" s="43">
        <f>s_C*s_EF_cw*(1/365)*s_ED_con*(s_ET_cw_i+s_ET_cw_o)*(1/24)*s_RadSpec!U21*s_RadSpec!P21*1</f>
        <v>0</v>
      </c>
      <c r="AJ21" s="11"/>
      <c r="AK21" s="11"/>
      <c r="AL21" s="11"/>
      <c r="AM21" s="11"/>
      <c r="AN21" s="11"/>
      <c r="AO21" s="22">
        <f>IFERROR(s_TR/(s_RadSpec!G21*s_EF_cw*s_ED_con*s_ET_cw_o*(1/24)*s_IRA_cw),".")</f>
        <v>1534.7721822541969</v>
      </c>
      <c r="AP21" s="22">
        <f>IFERROR(s_TR/(s_RadSpec!J21*s_EF_cw*(1/365)*s_ED_con*s_ET_cw_o*(1/24)*s_GSF_a),".")</f>
        <v>11838057433803.236</v>
      </c>
      <c r="AQ21" s="22">
        <f t="shared" si="11"/>
        <v>1534.7721820552179</v>
      </c>
      <c r="AR21" s="43">
        <f t="shared" si="7"/>
        <v>2343.75</v>
      </c>
      <c r="AS21" s="43">
        <f t="shared" si="8"/>
        <v>0.10702054794520549</v>
      </c>
      <c r="AT21" s="10"/>
      <c r="AU21" s="10"/>
      <c r="AV21" s="10"/>
    </row>
    <row r="22" spans="1:48" x14ac:dyDescent="0.25">
      <c r="A22" s="23" t="s">
        <v>32</v>
      </c>
      <c r="B22" s="24" t="s">
        <v>289</v>
      </c>
      <c r="C22" s="2"/>
      <c r="D22" s="22">
        <f>IFERROR((s_TR/(s_RadSpec!I22*s_EF_cw*s_ED_con*s_IRS_cw*(1/1000)))*1,".")</f>
        <v>71713.504549325444</v>
      </c>
      <c r="E22" s="22">
        <f>IFERROR(IF(A22="H-3",(s_TR/(s_RadSpec!G22*s_EF_cw*s_ED_con*s_ET_cw_o*(1/24)*s_IRA_cw*(1/17)*1000))*1,(s_TR/(s_RadSpec!G22*s_EF_cw*s_ED_con*s_ET_cw_o*(1/24)*s_IRA_cw*(1/s_PEFsc)*1000))*1),".")</f>
        <v>414.67186313683072</v>
      </c>
      <c r="F22" s="22">
        <f>IFERROR((s_TR/(s_RadSpec!F22*s_EF_cw*(1/365)*s_ED_con*s_RadSpec!Q22*s_ET_cw_o*(1/24)*s_RadSpec!V22))*1,".")</f>
        <v>1835526838426.085</v>
      </c>
      <c r="G22" s="22">
        <f t="shared" si="9"/>
        <v>412.28787439193871</v>
      </c>
      <c r="H22" s="43">
        <f t="shared" si="1"/>
        <v>9.375</v>
      </c>
      <c r="I22" s="43">
        <f t="shared" si="2"/>
        <v>4.6093989487085221</v>
      </c>
      <c r="J22" s="43">
        <f>s_C*s_EF_cw*(1/365)*s_ED_con*(s_ET_cw_i+s_ET_cw_o)*(1/24)*s_RadSpec!V22*s_RadSpec!Q22*1</f>
        <v>4.4606883849430176E-9</v>
      </c>
      <c r="K22" s="4"/>
      <c r="L22" s="4"/>
      <c r="M22" s="4"/>
      <c r="N22" s="4"/>
      <c r="O22" s="22">
        <f>IFERROR((s_TR/(s_RadSpec!I22*s_EF_cw*s_ED_con*s_IRS_cw*(1/1000)))*1,".")</f>
        <v>71713.504549325444</v>
      </c>
      <c r="P22" s="22">
        <f>IFERROR(IF(A22="H-3",(s_TR/(s_RadSpec!G22*s_EF_cw*s_ED_con*s_ET_cw_o*(1/24)*s_IRA_cw*(1/17)*1000))*1,(s_TR/(s_RadSpec!G22*s_EF_cw*s_ED_con*s_ET_cw_o*(1/24)*s_IRA_cw*(1/s_PEF__sc)*1000))*1),".")</f>
        <v>2608.0358644851276</v>
      </c>
      <c r="Q22" s="22">
        <f>IFERROR((s_TR/(s_RadSpec!F22*s_EF_cw*(1/365)*s_ED_con*s_RadSpec!Q22*s_ET_cw_o*(1/24)*s_RadSpec!V22))*1,".")</f>
        <v>1835526838426.085</v>
      </c>
      <c r="R22" s="22">
        <f t="shared" si="10"/>
        <v>2516.5166186650054</v>
      </c>
      <c r="S22" s="43">
        <f t="shared" si="4"/>
        <v>9.375</v>
      </c>
      <c r="T22" s="43">
        <f t="shared" si="5"/>
        <v>0.73288411253472296</v>
      </c>
      <c r="U22" s="43">
        <f>s_C*s_EF_cw*(1/365)*s_ED_con*(s_ET_cw_i+s_ET_cw_o)*(1/24)*s_RadSpec!V22*s_RadSpec!Q22*1</f>
        <v>4.4606883849430176E-9</v>
      </c>
      <c r="V22" s="11"/>
      <c r="W22" s="11"/>
      <c r="X22" s="11"/>
      <c r="Y22" s="11"/>
      <c r="Z22" s="22">
        <f>IFERROR((s_TR/(s_RadSpec!F22*s_EF_cw*(1/365)*s_ED_con*s_RadSpec!Q22*s_ET_cw_o*(1/24)*s_RadSpec!V22))*1,".")</f>
        <v>1835526838426.085</v>
      </c>
      <c r="AA22" s="22">
        <f>IFERROR((s_TR/(s_RadSpec!M22*s_EF_cw*(1/365)*s_ED_con*s_RadSpec!R22*s_ET_cw_o*(1/24)*s_RadSpec!W22))*1,".")</f>
        <v>2310005505340.563</v>
      </c>
      <c r="AB22" s="22">
        <f>IFERROR((s_TR/(s_RadSpec!N22*s_EF_cw*(1/365)*s_ED_con*s_RadSpec!S22*s_ET_cw_o*(1/24)*s_RadSpec!X22))*1,".")</f>
        <v>1299628490336.1279</v>
      </c>
      <c r="AC22" s="22">
        <f>IFERROR((s_TR/(s_RadSpec!O22*s_EF_cw*(1/365)*s_ED_con*s_RadSpec!T22*s_ET_cw_o*(1/24)*s_RadSpec!Y22))*1,".")</f>
        <v>1334100471995.0833</v>
      </c>
      <c r="AD22" s="22">
        <f>IFERROR((s_TR/(s_RadSpec!K22*s_EF_cw*(1/365)*s_ED_con*s_RadSpec!P22*s_ET_cw_o*(1/24)*s_RadSpec!U22))*1,".")</f>
        <v>6527666419220.9707</v>
      </c>
      <c r="AE22" s="43">
        <f>s_C*s_EF_cw*(1/365)*s_ED_con*(s_ET_cw_i+s_ET_cw_o)*(1/24)*s_RadSpec!V22*s_RadSpec!Q22*1</f>
        <v>4.4606883849430176E-9</v>
      </c>
      <c r="AF22" s="43">
        <f>s_C*s_EF_cw*(1/365)*s_ED_con*(s_ET_cw_i+s_ET_cw_o)*(1/24)*s_RadSpec!W22*s_RadSpec!R22*1</f>
        <v>4.8680424708458494E-9</v>
      </c>
      <c r="AG22" s="43">
        <f>s_C*s_EF_cw*(1/365)*s_ED_con*(s_ET_cw_i+s_ET_cw_o)*(1/24)*s_RadSpec!X22*s_RadSpec!S22*1</f>
        <v>6.3363877576206346E-9</v>
      </c>
      <c r="AH22" s="43">
        <f>s_C*s_EF_cw*(1/365)*s_ED_con*(s_ET_cw_i+s_ET_cw_o)*(1/24)*s_RadSpec!Y22*s_RadSpec!T22*1</f>
        <v>6.1490110340586923E-9</v>
      </c>
      <c r="AI22" s="43">
        <f>s_C*s_EF_cw*(1/365)*s_ED_con*(s_ET_cw_i+s_ET_cw_o)*(1/24)*s_RadSpec!U22*s_RadSpec!P22*1</f>
        <v>8.6658363023224808E-10</v>
      </c>
      <c r="AJ22" s="11"/>
      <c r="AK22" s="11"/>
      <c r="AL22" s="11"/>
      <c r="AM22" s="11"/>
      <c r="AN22" s="11"/>
      <c r="AO22" s="22">
        <f>IFERROR(s_TR/(s_RadSpec!G22*s_EF_cw*s_ED_con*s_ET_cw_o*(1/24)*s_IRA_cw),".")</f>
        <v>0.81552556800081566</v>
      </c>
      <c r="AP22" s="22">
        <f>IFERROR(s_TR/(s_RadSpec!J22*s_EF_cw*(1/365)*s_ED_con*s_ET_cw_o*(1/24)*s_GSF_a),".")</f>
        <v>25324451.978642363</v>
      </c>
      <c r="AQ22" s="22">
        <f t="shared" si="11"/>
        <v>0.81552554173837444</v>
      </c>
      <c r="AR22" s="43">
        <f t="shared" si="7"/>
        <v>2343.75</v>
      </c>
      <c r="AS22" s="43">
        <f t="shared" si="8"/>
        <v>0.10702054794520549</v>
      </c>
      <c r="AT22" s="10"/>
      <c r="AU22" s="10"/>
      <c r="AV22" s="10"/>
    </row>
    <row r="23" spans="1:48" x14ac:dyDescent="0.25">
      <c r="A23" s="25" t="s">
        <v>33</v>
      </c>
      <c r="B23" s="24" t="s">
        <v>275</v>
      </c>
      <c r="C23" s="109"/>
      <c r="D23" s="22">
        <f>IFERROR((s_TR/(s_RadSpec!I23*s_EF_cw*s_ED_con*s_IRS_cw*(1/1000)))*1,".")</f>
        <v>18108.56082212866</v>
      </c>
      <c r="E23" s="22">
        <f>IFERROR(IF(A23="H-3",(s_TR/(s_RadSpec!G23*s_EF_cw*s_ED_con*s_ET_cw_o*(1/24)*s_IRA_cw*(1/17)*1000))*1,(s_TR/(s_RadSpec!G23*s_EF_cw*s_ED_con*s_ET_cw_o*(1/24)*s_IRA_cw*(1/s_PEFsc)*1000))*1),".")</f>
        <v>385.24705287482169</v>
      </c>
      <c r="F23" s="22">
        <f>IFERROR((s_TR/(s_RadSpec!F23*s_EF_cw*(1/365)*s_ED_con*s_RadSpec!Q23*s_ET_cw_o*(1/24)*s_RadSpec!V23))*1,".")</f>
        <v>102730.33114582184</v>
      </c>
      <c r="G23" s="22">
        <f t="shared" si="9"/>
        <v>375.84184145435569</v>
      </c>
      <c r="H23" s="43">
        <f t="shared" si="1"/>
        <v>9.375</v>
      </c>
      <c r="I23" s="43">
        <f t="shared" si="2"/>
        <v>4.6093989487085221</v>
      </c>
      <c r="J23" s="43">
        <f>s_C*s_EF_cw*(1/365)*s_ED_con*(s_ET_cw_i+s_ET_cw_o)*(1/24)*s_RadSpec!V23*s_RadSpec!Q23*1</f>
        <v>1.947833594077919E-2</v>
      </c>
      <c r="K23" s="4"/>
      <c r="L23" s="4"/>
      <c r="M23" s="4"/>
      <c r="N23" s="4"/>
      <c r="O23" s="22">
        <f>IFERROR((s_TR/(s_RadSpec!I23*s_EF_cw*s_ED_con*s_IRS_cw*(1/1000)))*1,".")</f>
        <v>18108.56082212866</v>
      </c>
      <c r="P23" s="22">
        <f>IFERROR(IF(A23="H-3",(s_TR/(s_RadSpec!G23*s_EF_cw*s_ED_con*s_ET_cw_o*(1/24)*s_IRA_cw*(1/17)*1000))*1,(s_TR/(s_RadSpec!G23*s_EF_cw*s_ED_con*s_ET_cw_o*(1/24)*s_IRA_cw*(1/s_PEF__sc)*1000))*1),".")</f>
        <v>2422.971558726656</v>
      </c>
      <c r="Q23" s="22">
        <f>IFERROR((s_TR/(s_RadSpec!F23*s_EF_cw*(1/365)*s_ED_con*s_RadSpec!Q23*s_ET_cw_o*(1/24)*s_RadSpec!V23))*1,".")</f>
        <v>102730.33114582184</v>
      </c>
      <c r="R23" s="22">
        <f t="shared" si="10"/>
        <v>2093.4819993659357</v>
      </c>
      <c r="S23" s="43">
        <f t="shared" si="4"/>
        <v>9.375</v>
      </c>
      <c r="T23" s="43">
        <f t="shared" si="5"/>
        <v>0.73288411253472296</v>
      </c>
      <c r="U23" s="43">
        <f>s_C*s_EF_cw*(1/365)*s_ED_con*(s_ET_cw_i+s_ET_cw_o)*(1/24)*s_RadSpec!V23*s_RadSpec!Q23*1</f>
        <v>1.947833594077919E-2</v>
      </c>
      <c r="V23" s="11"/>
      <c r="W23" s="11"/>
      <c r="X23" s="11"/>
      <c r="Y23" s="11"/>
      <c r="Z23" s="22">
        <f>IFERROR((s_TR/(s_RadSpec!F23*s_EF_cw*(1/365)*s_ED_con*s_RadSpec!Q23*s_ET_cw_o*(1/24)*s_RadSpec!V23))*1,".")</f>
        <v>102730.33114582184</v>
      </c>
      <c r="AA23" s="22">
        <f>IFERROR((s_TR/(s_RadSpec!M23*s_EF_cw*(1/365)*s_ED_con*s_RadSpec!R23*s_ET_cw_o*(1/24)*s_RadSpec!W23))*1,".")</f>
        <v>721468.49797887541</v>
      </c>
      <c r="AB23" s="22">
        <f>IFERROR((s_TR/(s_RadSpec!N23*s_EF_cw*(1/365)*s_ED_con*s_RadSpec!S23*s_ET_cw_o*(1/24)*s_RadSpec!X23))*1,".")</f>
        <v>186591.6941267683</v>
      </c>
      <c r="AC23" s="22">
        <f>IFERROR((s_TR/(s_RadSpec!O23*s_EF_cw*(1/365)*s_ED_con*s_RadSpec!T23*s_ET_cw_o*(1/24)*s_RadSpec!Y23))*1,".")</f>
        <v>108867.84961444046</v>
      </c>
      <c r="AD23" s="22">
        <f>IFERROR((s_TR/(s_RadSpec!K23*s_EF_cw*(1/365)*s_ED_con*s_RadSpec!P23*s_ET_cw_o*(1/24)*s_RadSpec!U23))*1,".")</f>
        <v>1151412.8580539224</v>
      </c>
      <c r="AE23" s="43">
        <f>s_C*s_EF_cw*(1/365)*s_ED_con*(s_ET_cw_i+s_ET_cw_o)*(1/24)*s_RadSpec!V23*s_RadSpec!Q23*1</f>
        <v>1.947833594077919E-2</v>
      </c>
      <c r="AF23" s="43">
        <f>s_C*s_EF_cw*(1/365)*s_ED_con*(s_ET_cw_i+s_ET_cw_o)*(1/24)*s_RadSpec!W23*s_RadSpec!R23*1</f>
        <v>1.0942769704792434E-2</v>
      </c>
      <c r="AG23" s="43">
        <f>s_C*s_EF_cw*(1/365)*s_ED_con*(s_ET_cw_i+s_ET_cw_o)*(1/24)*s_RadSpec!X23*s_RadSpec!S23*1</f>
        <v>1.5475007006971946E-2</v>
      </c>
      <c r="AH23" s="43">
        <f>s_C*s_EF_cw*(1/365)*s_ED_con*(s_ET_cw_i+s_ET_cw_o)*(1/24)*s_RadSpec!Y23*s_RadSpec!T23*1</f>
        <v>1.8910426918473205E-2</v>
      </c>
      <c r="AI23" s="43">
        <f>s_C*s_EF_cw*(1/365)*s_ED_con*(s_ET_cw_i+s_ET_cw_o)*(1/24)*s_RadSpec!U23*s_RadSpec!P23*1</f>
        <v>6.9515148710354207E-3</v>
      </c>
      <c r="AJ23" s="11"/>
      <c r="AK23" s="11"/>
      <c r="AL23" s="11"/>
      <c r="AM23" s="11"/>
      <c r="AN23" s="11"/>
      <c r="AO23" s="22">
        <f>IFERROR(s_TR/(s_RadSpec!G23*s_EF_cw*s_ED_con*s_ET_cw_o*(1/24)*s_IRA_cw),".")</f>
        <v>0.75765647381941748</v>
      </c>
      <c r="AP23" s="22">
        <f>IFERROR(s_TR/(s_RadSpec!J23*s_EF_cw*(1/365)*s_ED_con*s_ET_cw_o*(1/24)*s_GSF_a),".")</f>
        <v>16398620.543547107</v>
      </c>
      <c r="AQ23" s="22">
        <f t="shared" si="11"/>
        <v>0.75765643881383249</v>
      </c>
      <c r="AR23" s="43">
        <f t="shared" si="7"/>
        <v>2343.75</v>
      </c>
      <c r="AS23" s="43">
        <f t="shared" si="8"/>
        <v>0.10702054794520549</v>
      </c>
      <c r="AT23" s="10"/>
      <c r="AU23" s="10"/>
      <c r="AV23" s="10"/>
    </row>
    <row r="24" spans="1:48" x14ac:dyDescent="0.25">
      <c r="A24" s="23" t="s">
        <v>34</v>
      </c>
      <c r="B24" s="24" t="s">
        <v>289</v>
      </c>
      <c r="C24" s="109"/>
      <c r="D24" s="22" t="str">
        <f>IFERROR((s_TR/(s_RadSpec!I24*s_EF_cw*s_ED_con*s_IRS_cw*(1/1000)))*1,".")</f>
        <v>.</v>
      </c>
      <c r="E24" s="22" t="str">
        <f>IFERROR(IF(A24="H-3",(s_TR/(s_RadSpec!G24*s_EF_cw*s_ED_con*s_ET_cw_o*(1/24)*s_IRA_cw*(1/17)*1000))*1,(s_TR/(s_RadSpec!G24*s_EF_cw*s_ED_con*s_ET_cw_o*(1/24)*s_IRA_cw*(1/s_PEFsc)*1000))*1),".")</f>
        <v>.</v>
      </c>
      <c r="F24" s="22">
        <f>IFERROR((s_TR/(s_RadSpec!F24*s_EF_cw*(1/365)*s_ED_con*s_RadSpec!Q24*s_ET_cw_o*(1/24)*s_RadSpec!V24))*1,".")</f>
        <v>993781.32455857808</v>
      </c>
      <c r="G24" s="22">
        <f t="shared" si="9"/>
        <v>993781.3245585782</v>
      </c>
      <c r="H24" s="43">
        <f t="shared" si="1"/>
        <v>9.375</v>
      </c>
      <c r="I24" s="43">
        <f t="shared" si="2"/>
        <v>4.6093989487085221</v>
      </c>
      <c r="J24" s="43">
        <f>s_C*s_EF_cw*(1/365)*s_ED_con*(s_ET_cw_i+s_ET_cw_o)*(1/24)*s_RadSpec!V24*s_RadSpec!Q24*1</f>
        <v>1.4858517639856123E-2</v>
      </c>
      <c r="K24" s="4"/>
      <c r="L24" s="4"/>
      <c r="M24" s="4"/>
      <c r="N24" s="4"/>
      <c r="O24" s="22" t="str">
        <f>IFERROR((s_TR/(s_RadSpec!I24*s_EF_cw*s_ED_con*s_IRS_cw*(1/1000)))*1,".")</f>
        <v>.</v>
      </c>
      <c r="P24" s="22" t="str">
        <f>IFERROR(IF(A24="H-3",(s_TR/(s_RadSpec!G24*s_EF_cw*s_ED_con*s_ET_cw_o*(1/24)*s_IRA_cw*(1/17)*1000))*1,(s_TR/(s_RadSpec!G24*s_EF_cw*s_ED_con*s_ET_cw_o*(1/24)*s_IRA_cw*(1/s_PEF__sc)*1000))*1),".")</f>
        <v>.</v>
      </c>
      <c r="Q24" s="22">
        <f>IFERROR((s_TR/(s_RadSpec!F24*s_EF_cw*(1/365)*s_ED_con*s_RadSpec!Q24*s_ET_cw_o*(1/24)*s_RadSpec!V24))*1,".")</f>
        <v>993781.32455857808</v>
      </c>
      <c r="R24" s="22">
        <f t="shared" si="10"/>
        <v>993781.3245585782</v>
      </c>
      <c r="S24" s="43">
        <f t="shared" si="4"/>
        <v>9.375</v>
      </c>
      <c r="T24" s="43">
        <f t="shared" si="5"/>
        <v>0.73288411253472296</v>
      </c>
      <c r="U24" s="43">
        <f>s_C*s_EF_cw*(1/365)*s_ED_con*(s_ET_cw_i+s_ET_cw_o)*(1/24)*s_RadSpec!V24*s_RadSpec!Q24*1</f>
        <v>1.4858517639856123E-2</v>
      </c>
      <c r="V24" s="11"/>
      <c r="W24" s="11"/>
      <c r="X24" s="11"/>
      <c r="Y24" s="11"/>
      <c r="Z24" s="22">
        <f>IFERROR((s_TR/(s_RadSpec!F24*s_EF_cw*(1/365)*s_ED_con*s_RadSpec!Q24*s_ET_cw_o*(1/24)*s_RadSpec!V24))*1,".")</f>
        <v>993781.32455857808</v>
      </c>
      <c r="AA24" s="22">
        <f>IFERROR((s_TR/(s_RadSpec!M24*s_EF_cw*(1/365)*s_ED_con*s_RadSpec!R24*s_ET_cw_o*(1/24)*s_RadSpec!W24))*1,".")</f>
        <v>8755105.8868336119</v>
      </c>
      <c r="AB24" s="22">
        <f>IFERROR((s_TR/(s_RadSpec!N24*s_EF_cw*(1/365)*s_ED_con*s_RadSpec!S24*s_ET_cw_o*(1/24)*s_RadSpec!X24))*1,".")</f>
        <v>2195964.8515204438</v>
      </c>
      <c r="AC24" s="22">
        <f>IFERROR((s_TR/(s_RadSpec!O24*s_EF_cw*(1/365)*s_ED_con*s_RadSpec!T24*s_ET_cw_o*(1/24)*s_RadSpec!Y24))*1,".")</f>
        <v>1184899.4967619497</v>
      </c>
      <c r="AD24" s="22">
        <f>IFERROR((s_TR/(s_RadSpec!K24*s_EF_cw*(1/365)*s_ED_con*s_RadSpec!P24*s_ET_cw_o*(1/24)*s_RadSpec!U24))*1,".")</f>
        <v>14895472.904332174</v>
      </c>
      <c r="AE24" s="43">
        <f>s_C*s_EF_cw*(1/365)*s_ED_con*(s_ET_cw_i+s_ET_cw_o)*(1/24)*s_RadSpec!V24*s_RadSpec!Q24*1</f>
        <v>1.4858517639856123E-2</v>
      </c>
      <c r="AF24" s="43">
        <f>s_C*s_EF_cw*(1/365)*s_ED_con*(s_ET_cw_i+s_ET_cw_o)*(1/24)*s_RadSpec!W24*s_RadSpec!R24*1</f>
        <v>8.1954743575229257E-3</v>
      </c>
      <c r="AG24" s="43">
        <f>s_C*s_EF_cw*(1/365)*s_ED_con*(s_ET_cw_i+s_ET_cw_o)*(1/24)*s_RadSpec!X24*s_RadSpec!S24*1</f>
        <v>1.1607258243178382E-2</v>
      </c>
      <c r="AH24" s="43">
        <f>s_C*s_EF_cw*(1/365)*s_ED_con*(s_ET_cw_i+s_ET_cw_o)*(1/24)*s_RadSpec!Y24*s_RadSpec!T24*1</f>
        <v>1.389982876712329E-2</v>
      </c>
      <c r="AI24" s="43">
        <f>s_C*s_EF_cw*(1/365)*s_ED_con*(s_ET_cw_i+s_ET_cw_o)*(1/24)*s_RadSpec!U24*s_RadSpec!P24*1</f>
        <v>4.9310733483613695E-3</v>
      </c>
      <c r="AJ24" s="11"/>
      <c r="AK24" s="11"/>
      <c r="AL24" s="11"/>
      <c r="AM24" s="11"/>
      <c r="AN24" s="11"/>
      <c r="AO24" s="22" t="str">
        <f>IFERROR(s_TR/(s_RadSpec!G24*s_EF_cw*s_ED_con*s_ET_cw_o*(1/24)*s_IRA_cw),".")</f>
        <v>.</v>
      </c>
      <c r="AP24" s="22">
        <f>IFERROR(s_TR/(s_RadSpec!J24*s_EF_cw*(1/365)*s_ED_con*s_ET_cw_o*(1/24)*s_GSF_a),".")</f>
        <v>146566425.3708972</v>
      </c>
      <c r="AQ24" s="22">
        <f t="shared" si="11"/>
        <v>146566425.3708972</v>
      </c>
      <c r="AR24" s="43">
        <f t="shared" si="7"/>
        <v>2343.75</v>
      </c>
      <c r="AS24" s="43">
        <f t="shared" si="8"/>
        <v>0.10702054794520549</v>
      </c>
      <c r="AT24" s="10"/>
      <c r="AU24" s="10"/>
      <c r="AV24" s="10"/>
    </row>
    <row r="25" spans="1:48" x14ac:dyDescent="0.25">
      <c r="A25" s="25" t="s">
        <v>35</v>
      </c>
      <c r="B25" s="24" t="s">
        <v>275</v>
      </c>
      <c r="C25" s="109"/>
      <c r="D25" s="22" t="str">
        <f>IFERROR((s_TR/(s_RadSpec!I25*s_EF_cw*s_ED_con*s_IRS_cw*(1/1000)))*1,".")</f>
        <v>.</v>
      </c>
      <c r="E25" s="22">
        <f>IFERROR(IF(A25="H-3",(s_TR/(s_RadSpec!G25*s_EF_cw*s_ED_con*s_ET_cw_o*(1/24)*s_IRA_cw*(1/17)*1000))*1,(s_TR/(s_RadSpec!G25*s_EF_cw*s_ED_con*s_ET_cw_o*(1/24)*s_IRA_cw*(1/s_PEFsc)*1000))*1),".")</f>
        <v>4757632.1349983998</v>
      </c>
      <c r="F25" s="22">
        <f>IFERROR((s_TR/(s_RadSpec!F25*s_EF_cw*(1/365)*s_ED_con*s_RadSpec!Q25*s_ET_cw_o*(1/24)*s_RadSpec!V25))*1,".")</f>
        <v>2216459.444744769</v>
      </c>
      <c r="G25" s="22">
        <f t="shared" si="9"/>
        <v>1512039.0318457449</v>
      </c>
      <c r="H25" s="43">
        <f t="shared" si="1"/>
        <v>9.375</v>
      </c>
      <c r="I25" s="43">
        <f t="shared" si="2"/>
        <v>4.6093989487085221</v>
      </c>
      <c r="J25" s="43">
        <f>s_C*s_EF_cw*(1/365)*s_ED_con*(s_ET_cw_i+s_ET_cw_o)*(1/24)*s_RadSpec!V25*s_RadSpec!Q25*1</f>
        <v>1.3324058219178082E-2</v>
      </c>
      <c r="K25" s="4"/>
      <c r="L25" s="4"/>
      <c r="M25" s="4"/>
      <c r="N25" s="4"/>
      <c r="O25" s="22" t="str">
        <f>IFERROR((s_TR/(s_RadSpec!I25*s_EF_cw*s_ED_con*s_IRS_cw*(1/1000)))*1,".")</f>
        <v>.</v>
      </c>
      <c r="P25" s="22">
        <f>IFERROR(IF(A25="H-3",(s_TR/(s_RadSpec!G25*s_EF_cw*s_ED_con*s_ET_cw_o*(1/24)*s_IRA_cw*(1/17)*1000))*1,(s_TR/(s_RadSpec!G25*s_EF_cw*s_ED_con*s_ET_cw_o*(1/24)*s_IRA_cw*(1/s_PEF__sc)*1000))*1),".")</f>
        <v>29922636.043450192</v>
      </c>
      <c r="Q25" s="22">
        <f>IFERROR((s_TR/(s_RadSpec!F25*s_EF_cw*(1/365)*s_ED_con*s_RadSpec!Q25*s_ET_cw_o*(1/24)*s_RadSpec!V25))*1,".")</f>
        <v>2216459.444744769</v>
      </c>
      <c r="R25" s="22">
        <f t="shared" si="10"/>
        <v>2063602.2346841197</v>
      </c>
      <c r="S25" s="43">
        <f t="shared" si="4"/>
        <v>9.375</v>
      </c>
      <c r="T25" s="43">
        <f t="shared" si="5"/>
        <v>0.73288411253472296</v>
      </c>
      <c r="U25" s="43">
        <f>s_C*s_EF_cw*(1/365)*s_ED_con*(s_ET_cw_i+s_ET_cw_o)*(1/24)*s_RadSpec!V25*s_RadSpec!Q25*1</f>
        <v>1.3324058219178082E-2</v>
      </c>
      <c r="V25" s="11"/>
      <c r="W25" s="11"/>
      <c r="X25" s="11"/>
      <c r="Y25" s="11"/>
      <c r="Z25" s="22">
        <f>IFERROR((s_TR/(s_RadSpec!F25*s_EF_cw*(1/365)*s_ED_con*s_RadSpec!Q25*s_ET_cw_o*(1/24)*s_RadSpec!V25))*1,".")</f>
        <v>2216459.444744769</v>
      </c>
      <c r="AA25" s="22">
        <f>IFERROR((s_TR/(s_RadSpec!M25*s_EF_cw*(1/365)*s_ED_con*s_RadSpec!R25*s_ET_cw_o*(1/24)*s_RadSpec!W25))*1,".")</f>
        <v>18833008.629935581</v>
      </c>
      <c r="AB25" s="22">
        <f>IFERROR((s_TR/(s_RadSpec!N25*s_EF_cw*(1/365)*s_ED_con*s_RadSpec!S25*s_ET_cw_o*(1/24)*s_RadSpec!X25))*1,".")</f>
        <v>4787055.0384824686</v>
      </c>
      <c r="AC25" s="22">
        <f>IFERROR((s_TR/(s_RadSpec!O25*s_EF_cw*(1/365)*s_ED_con*s_RadSpec!T25*s_ET_cw_o*(1/24)*s_RadSpec!Y25))*1,".")</f>
        <v>2792816.8368054889</v>
      </c>
      <c r="AD25" s="22">
        <f>IFERROR((s_TR/(s_RadSpec!K25*s_EF_cw*(1/365)*s_ED_con*s_RadSpec!P25*s_ET_cw_o*(1/24)*s_RadSpec!U25))*1,".")</f>
        <v>34395805.937368035</v>
      </c>
      <c r="AE25" s="43">
        <f>s_C*s_EF_cw*(1/365)*s_ED_con*(s_ET_cw_i+s_ET_cw_o)*(1/24)*s_RadSpec!V25*s_RadSpec!Q25*1</f>
        <v>1.3324058219178082E-2</v>
      </c>
      <c r="AF25" s="43">
        <f>s_C*s_EF_cw*(1/365)*s_ED_con*(s_ET_cw_i+s_ET_cw_o)*(1/24)*s_RadSpec!W25*s_RadSpec!R25*1</f>
        <v>7.440313890585467E-3</v>
      </c>
      <c r="AG25" s="43">
        <f>s_C*s_EF_cw*(1/365)*s_ED_con*(s_ET_cw_i+s_ET_cw_o)*(1/24)*s_RadSpec!X25*s_RadSpec!S25*1</f>
        <v>1.0372588395610701E-2</v>
      </c>
      <c r="AH25" s="43">
        <f>s_C*s_EF_cw*(1/365)*s_ED_con*(s_ET_cw_i+s_ET_cw_o)*(1/24)*s_RadSpec!Y25*s_RadSpec!T25*1</f>
        <v>1.1615767963298012E-2</v>
      </c>
      <c r="AI25" s="43">
        <f>s_C*s_EF_cw*(1/365)*s_ED_con*(s_ET_cw_i+s_ET_cw_o)*(1/24)*s_RadSpec!U25*s_RadSpec!P25*1</f>
        <v>4.1498993963782708E-3</v>
      </c>
      <c r="AJ25" s="11"/>
      <c r="AK25" s="11"/>
      <c r="AL25" s="11"/>
      <c r="AM25" s="11"/>
      <c r="AN25" s="11"/>
      <c r="AO25" s="22">
        <f>IFERROR(s_TR/(s_RadSpec!G25*s_EF_cw*s_ED_con*s_ET_cw_o*(1/24)*s_IRA_cw),".")</f>
        <v>9356.7251461988308</v>
      </c>
      <c r="AP25" s="22">
        <f>IFERROR(s_TR/(s_RadSpec!J25*s_EF_cw*(1/365)*s_ED_con*s_ET_cw_o*(1/24)*s_GSF_a),".")</f>
        <v>287860677.16730171</v>
      </c>
      <c r="AQ25" s="22">
        <f t="shared" si="11"/>
        <v>9356.4210217844975</v>
      </c>
      <c r="AR25" s="43">
        <f t="shared" si="7"/>
        <v>2343.75</v>
      </c>
      <c r="AS25" s="43">
        <f t="shared" si="8"/>
        <v>0.10702054794520549</v>
      </c>
      <c r="AT25" s="10"/>
      <c r="AU25" s="10"/>
      <c r="AV25" s="10"/>
    </row>
    <row r="26" spans="1:48" x14ac:dyDescent="0.25">
      <c r="A26" s="23" t="s">
        <v>36</v>
      </c>
      <c r="B26" s="24" t="s">
        <v>289</v>
      </c>
      <c r="C26" s="2"/>
      <c r="D26" s="22">
        <f>IFERROR((s_TR/(s_RadSpec!I26*s_EF_cw*s_ED_con*s_IRS_cw*(1/1000)))*1,".")</f>
        <v>27094.763936869203</v>
      </c>
      <c r="E26" s="22">
        <f>IFERROR(IF(A26="H-3",(s_TR/(s_RadSpec!G26*s_EF_cw*s_ED_con*s_ET_cw_o*(1/24)*s_IRA_cw*(1/17)*1000))*1,(s_TR/(s_RadSpec!G26*s_EF_cw*s_ED_con*s_ET_cw_o*(1/24)*s_IRA_cw*(1/s_PEFsc)*1000))*1),".")</f>
        <v>62.112925262232899</v>
      </c>
      <c r="F26" s="22">
        <f>IFERROR((s_TR/(s_RadSpec!F26*s_EF_cw*(1/365)*s_ED_con*s_RadSpec!Q26*s_ET_cw_o*(1/24)*s_RadSpec!V26))*1,".")</f>
        <v>91263.227107343424</v>
      </c>
      <c r="G26" s="22">
        <f t="shared" si="9"/>
        <v>61.928809442422597</v>
      </c>
      <c r="H26" s="43">
        <f t="shared" si="1"/>
        <v>9.375</v>
      </c>
      <c r="I26" s="43">
        <f t="shared" si="2"/>
        <v>4.6093989487085221</v>
      </c>
      <c r="J26" s="43">
        <f>s_C*s_EF_cw*(1/365)*s_ED_con*(s_ET_cw_i+s_ET_cw_o)*(1/24)*s_RadSpec!V26*s_RadSpec!Q26*1</f>
        <v>2.4438090171565378E-3</v>
      </c>
      <c r="K26" s="4"/>
      <c r="L26" s="4"/>
      <c r="M26" s="4"/>
      <c r="N26" s="4"/>
      <c r="O26" s="22">
        <f>IFERROR((s_TR/(s_RadSpec!I26*s_EF_cw*s_ED_con*s_IRS_cw*(1/1000)))*1,".")</f>
        <v>27094.763936869203</v>
      </c>
      <c r="P26" s="22">
        <f>IFERROR(IF(A26="H-3",(s_TR/(s_RadSpec!G26*s_EF_cw*s_ED_con*s_ET_cw_o*(1/24)*s_IRA_cw*(1/17)*1000))*1,(s_TR/(s_RadSpec!G26*s_EF_cw*s_ED_con*s_ET_cw_o*(1/24)*s_IRA_cw*(1/s_PEF__sc)*1000))*1),".")</f>
        <v>390.65282970147996</v>
      </c>
      <c r="Q26" s="22">
        <f>IFERROR((s_TR/(s_RadSpec!F26*s_EF_cw*(1/365)*s_ED_con*s_RadSpec!Q26*s_ET_cw_o*(1/24)*s_RadSpec!V26))*1,".")</f>
        <v>91263.227107343424</v>
      </c>
      <c r="R26" s="22">
        <f t="shared" si="10"/>
        <v>383.48227648609299</v>
      </c>
      <c r="S26" s="43">
        <f t="shared" si="4"/>
        <v>9.375</v>
      </c>
      <c r="T26" s="43">
        <f t="shared" si="5"/>
        <v>0.73288411253472296</v>
      </c>
      <c r="U26" s="43">
        <f>s_C*s_EF_cw*(1/365)*s_ED_con*(s_ET_cw_i+s_ET_cw_o)*(1/24)*s_RadSpec!V26*s_RadSpec!Q26*1</f>
        <v>2.4438090171565378E-3</v>
      </c>
      <c r="V26" s="11"/>
      <c r="W26" s="11"/>
      <c r="X26" s="11"/>
      <c r="Y26" s="11"/>
      <c r="Z26" s="22">
        <f>IFERROR((s_TR/(s_RadSpec!F26*s_EF_cw*(1/365)*s_ED_con*s_RadSpec!Q26*s_ET_cw_o*(1/24)*s_RadSpec!V26))*1,".")</f>
        <v>91263.227107343424</v>
      </c>
      <c r="AA26" s="22">
        <f>IFERROR((s_TR/(s_RadSpec!M26*s_EF_cw*(1/365)*s_ED_con*s_RadSpec!R26*s_ET_cw_o*(1/24)*s_RadSpec!W26))*1,".")</f>
        <v>552345.0665992453</v>
      </c>
      <c r="AB26" s="22">
        <f>IFERROR((s_TR/(s_RadSpec!N26*s_EF_cw*(1/365)*s_ED_con*s_RadSpec!S26*s_ET_cw_o*(1/24)*s_RadSpec!X26))*1,".")</f>
        <v>158268.92997092081</v>
      </c>
      <c r="AC26" s="22">
        <f>IFERROR((s_TR/(s_RadSpec!O26*s_EF_cw*(1/365)*s_ED_con*s_RadSpec!T26*s_ET_cw_o*(1/24)*s_RadSpec!Y26))*1,".")</f>
        <v>104099.8555318235</v>
      </c>
      <c r="AD26" s="22">
        <f>IFERROR((s_TR/(s_RadSpec!K26*s_EF_cw*(1/365)*s_ED_con*s_RadSpec!P26*s_ET_cw_o*(1/24)*s_RadSpec!U26))*1,".")</f>
        <v>3076988.950716726</v>
      </c>
      <c r="AE26" s="43">
        <f>s_C*s_EF_cw*(1/365)*s_ED_con*(s_ET_cw_i+s_ET_cw_o)*(1/24)*s_RadSpec!V26*s_RadSpec!Q26*1</f>
        <v>2.4438090171565378E-3</v>
      </c>
      <c r="AF26" s="43">
        <f>s_C*s_EF_cw*(1/365)*s_ED_con*(s_ET_cw_i+s_ET_cw_o)*(1/24)*s_RadSpec!W26*s_RadSpec!R26*1</f>
        <v>1.3385212818003913E-3</v>
      </c>
      <c r="AG26" s="43">
        <f>s_C*s_EF_cw*(1/365)*s_ED_con*(s_ET_cw_i+s_ET_cw_o)*(1/24)*s_RadSpec!X26*s_RadSpec!S26*1</f>
        <v>1.8519038351173999E-3</v>
      </c>
      <c r="AH26" s="43">
        <f>s_C*s_EF_cw*(1/365)*s_ED_con*(s_ET_cw_i+s_ET_cw_o)*(1/24)*s_RadSpec!Y26*s_RadSpec!T26*1</f>
        <v>2.1650133837191011E-3</v>
      </c>
      <c r="AI26" s="43">
        <f>s_C*s_EF_cw*(1/365)*s_ED_con*(s_ET_cw_i+s_ET_cw_o)*(1/24)*s_RadSpec!U26*s_RadSpec!P26*1</f>
        <v>2.2964963119072703E-4</v>
      </c>
      <c r="AJ26" s="11"/>
      <c r="AK26" s="11"/>
      <c r="AL26" s="11"/>
      <c r="AM26" s="11"/>
      <c r="AN26" s="11"/>
      <c r="AO26" s="22">
        <f>IFERROR(s_TR/(s_RadSpec!G26*s_EF_cw*s_ED_con*s_ET_cw_o*(1/24)*s_IRA_cw),".")</f>
        <v>0.12215605435944421</v>
      </c>
      <c r="AP26" s="22">
        <f>IFERROR(s_TR/(s_RadSpec!J26*s_EF_cw*(1/365)*s_ED_con*s_ET_cw_o*(1/24)*s_GSF_a),".")</f>
        <v>1556911.8337064174</v>
      </c>
      <c r="AQ26" s="22">
        <f t="shared" si="11"/>
        <v>0.12215604477502193</v>
      </c>
      <c r="AR26" s="43">
        <f t="shared" si="7"/>
        <v>2343.75</v>
      </c>
      <c r="AS26" s="43">
        <f t="shared" si="8"/>
        <v>0.10702054794520549</v>
      </c>
      <c r="AT26" s="10"/>
      <c r="AU26" s="10"/>
      <c r="AV26" s="10"/>
    </row>
    <row r="27" spans="1:48" x14ac:dyDescent="0.25">
      <c r="A27" s="23" t="s">
        <v>37</v>
      </c>
      <c r="B27" s="24" t="s">
        <v>289</v>
      </c>
      <c r="C27" s="109"/>
      <c r="D27" s="22" t="str">
        <f>IFERROR((s_TR/(s_RadSpec!I27*s_EF_cw*s_ED_con*s_IRS_cw*(1/1000)))*1,".")</f>
        <v>.</v>
      </c>
      <c r="E27" s="22" t="str">
        <f>IFERROR(IF(A27="H-3",(s_TR/(s_RadSpec!G27*s_EF_cw*s_ED_con*s_ET_cw_o*(1/24)*s_IRA_cw*(1/17)*1000))*1,(s_TR/(s_RadSpec!G27*s_EF_cw*s_ED_con*s_ET_cw_o*(1/24)*s_IRA_cw*(1/s_PEFsc)*1000))*1),".")</f>
        <v>.</v>
      </c>
      <c r="F27" s="22">
        <f>IFERROR((s_TR/(s_RadSpec!F27*s_EF_cw*(1/365)*s_ED_con*s_RadSpec!Q27*s_ET_cw_o*(1/24)*s_RadSpec!V27))*1,".")</f>
        <v>705909.57212963083</v>
      </c>
      <c r="G27" s="22">
        <f t="shared" si="9"/>
        <v>705909.57212963083</v>
      </c>
      <c r="H27" s="43">
        <f t="shared" si="1"/>
        <v>9.375</v>
      </c>
      <c r="I27" s="43">
        <f t="shared" si="2"/>
        <v>4.6093989487085221</v>
      </c>
      <c r="J27" s="43">
        <f>s_C*s_EF_cw*(1/365)*s_ED_con*(s_ET_cw_i+s_ET_cw_o)*(1/24)*s_RadSpec!V27*s_RadSpec!Q27*1</f>
        <v>1.159881317902692E-2</v>
      </c>
      <c r="K27" s="4"/>
      <c r="L27" s="4"/>
      <c r="M27" s="4"/>
      <c r="N27" s="4"/>
      <c r="O27" s="22" t="str">
        <f>IFERROR((s_TR/(s_RadSpec!I27*s_EF_cw*s_ED_con*s_IRS_cw*(1/1000)))*1,".")</f>
        <v>.</v>
      </c>
      <c r="P27" s="22" t="str">
        <f>IFERROR(IF(A27="H-3",(s_TR/(s_RadSpec!G27*s_EF_cw*s_ED_con*s_ET_cw_o*(1/24)*s_IRA_cw*(1/17)*1000))*1,(s_TR/(s_RadSpec!G27*s_EF_cw*s_ED_con*s_ET_cw_o*(1/24)*s_IRA_cw*(1/s_PEF__sc)*1000))*1),".")</f>
        <v>.</v>
      </c>
      <c r="Q27" s="22">
        <f>IFERROR((s_TR/(s_RadSpec!F27*s_EF_cw*(1/365)*s_ED_con*s_RadSpec!Q27*s_ET_cw_o*(1/24)*s_RadSpec!V27))*1,".")</f>
        <v>705909.57212963083</v>
      </c>
      <c r="R27" s="22">
        <f t="shared" si="10"/>
        <v>705909.57212963083</v>
      </c>
      <c r="S27" s="43">
        <f t="shared" si="4"/>
        <v>9.375</v>
      </c>
      <c r="T27" s="43">
        <f t="shared" si="5"/>
        <v>0.73288411253472296</v>
      </c>
      <c r="U27" s="43">
        <f>s_C*s_EF_cw*(1/365)*s_ED_con*(s_ET_cw_i+s_ET_cw_o)*(1/24)*s_RadSpec!V27*s_RadSpec!Q27*1</f>
        <v>1.159881317902692E-2</v>
      </c>
      <c r="V27" s="11"/>
      <c r="W27" s="11"/>
      <c r="X27" s="11"/>
      <c r="Y27" s="11"/>
      <c r="Z27" s="22">
        <f>IFERROR((s_TR/(s_RadSpec!F27*s_EF_cw*(1/365)*s_ED_con*s_RadSpec!Q27*s_ET_cw_o*(1/24)*s_RadSpec!V27))*1,".")</f>
        <v>705909.57212963083</v>
      </c>
      <c r="AA27" s="22">
        <f>IFERROR((s_TR/(s_RadSpec!M27*s_EF_cw*(1/365)*s_ED_con*s_RadSpec!R27*s_ET_cw_o*(1/24)*s_RadSpec!W27))*1,".")</f>
        <v>6166005.7330644196</v>
      </c>
      <c r="AB27" s="22">
        <f>IFERROR((s_TR/(s_RadSpec!N27*s_EF_cw*(1/365)*s_ED_con*s_RadSpec!S27*s_ET_cw_o*(1/24)*s_RadSpec!X27))*1,".")</f>
        <v>1777987.2649146577</v>
      </c>
      <c r="AC27" s="22">
        <f>IFERROR((s_TR/(s_RadSpec!O27*s_EF_cw*(1/365)*s_ED_con*s_RadSpec!T27*s_ET_cw_o*(1/24)*s_RadSpec!Y27))*1,".")</f>
        <v>972896.96623099968</v>
      </c>
      <c r="AD27" s="22">
        <f>IFERROR((s_TR/(s_RadSpec!K27*s_EF_cw*(1/365)*s_ED_con*s_RadSpec!P27*s_ET_cw_o*(1/24)*s_RadSpec!U27))*1,".")</f>
        <v>4666756.4024441885</v>
      </c>
      <c r="AE27" s="43">
        <f>s_C*s_EF_cw*(1/365)*s_ED_con*(s_ET_cw_i+s_ET_cw_o)*(1/24)*s_RadSpec!V27*s_RadSpec!Q27*1</f>
        <v>1.159881317902692E-2</v>
      </c>
      <c r="AF27" s="43">
        <f>s_C*s_EF_cw*(1/365)*s_ED_con*(s_ET_cw_i+s_ET_cw_o)*(1/24)*s_RadSpec!W27*s_RadSpec!R27*1</f>
        <v>3.9103661749209677E-3</v>
      </c>
      <c r="AG27" s="43">
        <f>s_C*s_EF_cw*(1/365)*s_ED_con*(s_ET_cw_i+s_ET_cw_o)*(1/24)*s_RadSpec!X27*s_RadSpec!S27*1</f>
        <v>6.3782814862326483E-3</v>
      </c>
      <c r="AH27" s="43">
        <f>s_C*s_EF_cw*(1/365)*s_ED_con*(s_ET_cw_i+s_ET_cw_o)*(1/24)*s_RadSpec!Y27*s_RadSpec!T27*1</f>
        <v>8.7678628316570327E-3</v>
      </c>
      <c r="AI27" s="43">
        <f>s_C*s_EF_cw*(1/365)*s_ED_con*(s_ET_cw_i+s_ET_cw_o)*(1/24)*s_RadSpec!U27*s_RadSpec!P27*1</f>
        <v>1.2501240817947188E-3</v>
      </c>
      <c r="AJ27" s="11"/>
      <c r="AK27" s="11"/>
      <c r="AL27" s="11"/>
      <c r="AM27" s="11"/>
      <c r="AN27" s="11"/>
      <c r="AO27" s="22" t="str">
        <f>IFERROR(s_TR/(s_RadSpec!G27*s_EF_cw*s_ED_con*s_ET_cw_o*(1/24)*s_IRA_cw),".")</f>
        <v>.</v>
      </c>
      <c r="AP27" s="22">
        <f>IFERROR(s_TR/(s_RadSpec!J27*s_EF_cw*(1/365)*s_ED_con*s_ET_cw_o*(1/24)*s_GSF_a),".")</f>
        <v>49705135.560565136</v>
      </c>
      <c r="AQ27" s="22">
        <f t="shared" si="11"/>
        <v>49705135.560565136</v>
      </c>
      <c r="AR27" s="43">
        <f t="shared" si="7"/>
        <v>2343.75</v>
      </c>
      <c r="AS27" s="43">
        <f t="shared" si="8"/>
        <v>0.10702054794520549</v>
      </c>
      <c r="AT27" s="10"/>
      <c r="AU27" s="10"/>
      <c r="AV27" s="10"/>
    </row>
    <row r="28" spans="1:48" x14ac:dyDescent="0.25">
      <c r="A28" s="23" t="s">
        <v>38</v>
      </c>
      <c r="B28" s="24" t="s">
        <v>289</v>
      </c>
      <c r="C28" s="2"/>
      <c r="D28" s="22" t="str">
        <f>IFERROR((s_TR/(s_RadSpec!I28*s_EF_cw*s_ED_con*s_IRS_cw*(1/1000)))*1,".")</f>
        <v>.</v>
      </c>
      <c r="E28" s="22" t="str">
        <f>IFERROR(IF(A28="H-3",(s_TR/(s_RadSpec!G28*s_EF_cw*s_ED_con*s_ET_cw_o*(1/24)*s_IRA_cw*(1/17)*1000))*1,(s_TR/(s_RadSpec!G28*s_EF_cw*s_ED_con*s_ET_cw_o*(1/24)*s_IRA_cw*(1/s_PEFsc)*1000))*1),".")</f>
        <v>.</v>
      </c>
      <c r="F28" s="22">
        <f>IFERROR((s_TR/(s_RadSpec!F28*s_EF_cw*(1/365)*s_ED_con*s_RadSpec!Q28*s_ET_cw_o*(1/24)*s_RadSpec!V28))*1,".")</f>
        <v>184.80794045527719</v>
      </c>
      <c r="G28" s="22">
        <f t="shared" si="9"/>
        <v>184.80794045527719</v>
      </c>
      <c r="H28" s="43">
        <f t="shared" si="1"/>
        <v>9.375</v>
      </c>
      <c r="I28" s="43">
        <f t="shared" si="2"/>
        <v>4.6093989487085221</v>
      </c>
      <c r="J28" s="43">
        <f>s_C*s_EF_cw*(1/365)*s_ED_con*(s_ET_cw_i+s_ET_cw_o)*(1/24)*s_RadSpec!V28*s_RadSpec!Q28*1</f>
        <v>2.6211472602739729E-2</v>
      </c>
      <c r="K28" s="4"/>
      <c r="L28" s="4"/>
      <c r="M28" s="4"/>
      <c r="N28" s="4"/>
      <c r="O28" s="22" t="str">
        <f>IFERROR((s_TR/(s_RadSpec!I28*s_EF_cw*s_ED_con*s_IRS_cw*(1/1000)))*1,".")</f>
        <v>.</v>
      </c>
      <c r="P28" s="22" t="str">
        <f>IFERROR(IF(A28="H-3",(s_TR/(s_RadSpec!G28*s_EF_cw*s_ED_con*s_ET_cw_o*(1/24)*s_IRA_cw*(1/17)*1000))*1,(s_TR/(s_RadSpec!G28*s_EF_cw*s_ED_con*s_ET_cw_o*(1/24)*s_IRA_cw*(1/s_PEF__sc)*1000))*1),".")</f>
        <v>.</v>
      </c>
      <c r="Q28" s="22">
        <f>IFERROR((s_TR/(s_RadSpec!F28*s_EF_cw*(1/365)*s_ED_con*s_RadSpec!Q28*s_ET_cw_o*(1/24)*s_RadSpec!V28))*1,".")</f>
        <v>184.80794045527719</v>
      </c>
      <c r="R28" s="22">
        <f t="shared" si="10"/>
        <v>184.80794045527719</v>
      </c>
      <c r="S28" s="43">
        <f t="shared" si="4"/>
        <v>9.375</v>
      </c>
      <c r="T28" s="43">
        <f t="shared" si="5"/>
        <v>0.73288411253472296</v>
      </c>
      <c r="U28" s="43">
        <f>s_C*s_EF_cw*(1/365)*s_ED_con*(s_ET_cw_i+s_ET_cw_o)*(1/24)*s_RadSpec!V28*s_RadSpec!Q28*1</f>
        <v>2.6211472602739729E-2</v>
      </c>
      <c r="V28" s="11"/>
      <c r="W28" s="11"/>
      <c r="X28" s="11"/>
      <c r="Y28" s="11"/>
      <c r="Z28" s="22">
        <f>IFERROR((s_TR/(s_RadSpec!F28*s_EF_cw*(1/365)*s_ED_con*s_RadSpec!Q28*s_ET_cw_o*(1/24)*s_RadSpec!V28))*1,".")</f>
        <v>184.80794045527719</v>
      </c>
      <c r="AA28" s="22">
        <f>IFERROR((s_TR/(s_RadSpec!M28*s_EF_cw*(1/365)*s_ED_con*s_RadSpec!R28*s_ET_cw_o*(1/24)*s_RadSpec!W28))*1,".")</f>
        <v>2232.1860523702458</v>
      </c>
      <c r="AB28" s="22">
        <f>IFERROR((s_TR/(s_RadSpec!N28*s_EF_cw*(1/365)*s_ED_con*s_RadSpec!S28*s_ET_cw_o*(1/24)*s_RadSpec!X28))*1,".")</f>
        <v>539.51442484152608</v>
      </c>
      <c r="AC28" s="22">
        <f>IFERROR((s_TR/(s_RadSpec!O28*s_EF_cw*(1/365)*s_ED_con*s_RadSpec!T28*s_ET_cw_o*(1/24)*s_RadSpec!Y28))*1,".")</f>
        <v>293.54239329654433</v>
      </c>
      <c r="AD28" s="22">
        <f>IFERROR((s_TR/(s_RadSpec!K28*s_EF_cw*(1/365)*s_ED_con*s_RadSpec!P28*s_ET_cw_o*(1/24)*s_RadSpec!U28))*1,".")</f>
        <v>4027.7600822575364</v>
      </c>
      <c r="AE28" s="43">
        <f>s_C*s_EF_cw*(1/365)*s_ED_con*(s_ET_cw_i+s_ET_cw_o)*(1/24)*s_RadSpec!V28*s_RadSpec!Q28*1</f>
        <v>2.6211472602739729E-2</v>
      </c>
      <c r="AF28" s="43">
        <f>s_C*s_EF_cw*(1/365)*s_ED_con*(s_ET_cw_i+s_ET_cw_o)*(1/24)*s_RadSpec!W28*s_RadSpec!R28*1</f>
        <v>1.1754760058585336E-2</v>
      </c>
      <c r="AG28" s="43">
        <f>s_C*s_EF_cw*(1/365)*s_ED_con*(s_ET_cw_i+s_ET_cw_o)*(1/24)*s_RadSpec!X28*s_RadSpec!S28*1</f>
        <v>1.6930650684931516E-2</v>
      </c>
      <c r="AH28" s="43">
        <f>s_C*s_EF_cw*(1/365)*s_ED_con*(s_ET_cw_i+s_ET_cw_o)*(1/24)*s_RadSpec!Y28*s_RadSpec!T28*1</f>
        <v>1.9554857473811454E-2</v>
      </c>
      <c r="AI28" s="43">
        <f>s_C*s_EF_cw*(1/365)*s_ED_con*(s_ET_cw_i+s_ET_cw_o)*(1/24)*s_RadSpec!U28*s_RadSpec!P28*1</f>
        <v>6.6865730782293652E-3</v>
      </c>
      <c r="AJ28" s="11"/>
      <c r="AK28" s="11"/>
      <c r="AL28" s="11"/>
      <c r="AM28" s="11"/>
      <c r="AN28" s="11"/>
      <c r="AO28" s="22" t="str">
        <f>IFERROR(s_TR/(s_RadSpec!G28*s_EF_cw*s_ED_con*s_ET_cw_o*(1/24)*s_IRA_cw),".")</f>
        <v>.</v>
      </c>
      <c r="AP28" s="22">
        <f>IFERROR(s_TR/(s_RadSpec!J28*s_EF_cw*(1/365)*s_ED_con*s_ET_cw_o*(1/24)*s_GSF_a),".")</f>
        <v>48795.895275920659</v>
      </c>
      <c r="AQ28" s="22">
        <f t="shared" si="11"/>
        <v>48795.895275920659</v>
      </c>
      <c r="AR28" s="43">
        <f t="shared" si="7"/>
        <v>2343.75</v>
      </c>
      <c r="AS28" s="43">
        <f t="shared" si="8"/>
        <v>0.10702054794520549</v>
      </c>
      <c r="AT28" s="10"/>
      <c r="AU28" s="10"/>
      <c r="AV28" s="10"/>
    </row>
    <row r="29" spans="1:48" x14ac:dyDescent="0.25">
      <c r="A29" s="23" t="s">
        <v>39</v>
      </c>
      <c r="B29" s="24" t="s">
        <v>289</v>
      </c>
      <c r="C29" s="109"/>
      <c r="D29" s="22" t="str">
        <f>IFERROR((s_TR/(s_RadSpec!I29*s_EF_cw*s_ED_con*s_IRS_cw*(1/1000)))*1,".")</f>
        <v>.</v>
      </c>
      <c r="E29" s="22" t="str">
        <f>IFERROR(IF(A29="H-3",(s_TR/(s_RadSpec!G29*s_EF_cw*s_ED_con*s_ET_cw_o*(1/24)*s_IRA_cw*(1/17)*1000))*1,(s_TR/(s_RadSpec!G29*s_EF_cw*s_ED_con*s_ET_cw_o*(1/24)*s_IRA_cw*(1/s_PEFsc)*1000))*1),".")</f>
        <v>.</v>
      </c>
      <c r="F29" s="22">
        <f>IFERROR((s_TR/(s_RadSpec!F29*s_EF_cw*(1/365)*s_ED_con*s_RadSpec!Q29*s_ET_cw_o*(1/24)*s_RadSpec!V29))*1,".")</f>
        <v>154.47975874355976</v>
      </c>
      <c r="G29" s="22">
        <f t="shared" si="9"/>
        <v>154.47975874355976</v>
      </c>
      <c r="H29" s="43">
        <f t="shared" si="1"/>
        <v>9.375</v>
      </c>
      <c r="I29" s="43">
        <f t="shared" si="2"/>
        <v>4.6093989487085221</v>
      </c>
      <c r="J29" s="43">
        <f>s_C*s_EF_cw*(1/365)*s_ED_con*(s_ET_cw_i+s_ET_cw_o)*(1/24)*s_RadSpec!V29*s_RadSpec!Q29*1</f>
        <v>2.410432033719704E-2</v>
      </c>
      <c r="K29" s="4"/>
      <c r="L29" s="4"/>
      <c r="M29" s="4"/>
      <c r="N29" s="4"/>
      <c r="O29" s="22" t="str">
        <f>IFERROR((s_TR/(s_RadSpec!I29*s_EF_cw*s_ED_con*s_IRS_cw*(1/1000)))*1,".")</f>
        <v>.</v>
      </c>
      <c r="P29" s="22" t="str">
        <f>IFERROR(IF(A29="H-3",(s_TR/(s_RadSpec!G29*s_EF_cw*s_ED_con*s_ET_cw_o*(1/24)*s_IRA_cw*(1/17)*1000))*1,(s_TR/(s_RadSpec!G29*s_EF_cw*s_ED_con*s_ET_cw_o*(1/24)*s_IRA_cw*(1/s_PEF__sc)*1000))*1),".")</f>
        <v>.</v>
      </c>
      <c r="Q29" s="22">
        <f>IFERROR((s_TR/(s_RadSpec!F29*s_EF_cw*(1/365)*s_ED_con*s_RadSpec!Q29*s_ET_cw_o*(1/24)*s_RadSpec!V29))*1,".")</f>
        <v>154.47975874355976</v>
      </c>
      <c r="R29" s="22">
        <f t="shared" si="10"/>
        <v>154.47975874355976</v>
      </c>
      <c r="S29" s="43">
        <f t="shared" si="4"/>
        <v>9.375</v>
      </c>
      <c r="T29" s="43">
        <f t="shared" si="5"/>
        <v>0.73288411253472296</v>
      </c>
      <c r="U29" s="43">
        <f>s_C*s_EF_cw*(1/365)*s_ED_con*(s_ET_cw_i+s_ET_cw_o)*(1/24)*s_RadSpec!V29*s_RadSpec!Q29*1</f>
        <v>2.410432033719704E-2</v>
      </c>
      <c r="V29" s="11"/>
      <c r="W29" s="11"/>
      <c r="X29" s="11"/>
      <c r="Y29" s="11"/>
      <c r="Z29" s="22">
        <f>IFERROR((s_TR/(s_RadSpec!F29*s_EF_cw*(1/365)*s_ED_con*s_RadSpec!Q29*s_ET_cw_o*(1/24)*s_RadSpec!V29))*1,".")</f>
        <v>154.47975874355976</v>
      </c>
      <c r="AA29" s="22">
        <f>IFERROR((s_TR/(s_RadSpec!M29*s_EF_cw*(1/365)*s_ED_con*s_RadSpec!R29*s_ET_cw_o*(1/24)*s_RadSpec!W29))*1,".")</f>
        <v>1665.8735847644386</v>
      </c>
      <c r="AB29" s="22">
        <f>IFERROR((s_TR/(s_RadSpec!N29*s_EF_cw*(1/365)*s_ED_con*s_RadSpec!S29*s_ET_cw_o*(1/24)*s_RadSpec!X29))*1,".")</f>
        <v>414.27623923839371</v>
      </c>
      <c r="AC29" s="22">
        <f>IFERROR((s_TR/(s_RadSpec!O29*s_EF_cw*(1/365)*s_ED_con*s_RadSpec!T29*s_ET_cw_o*(1/24)*s_RadSpec!Y29))*1,".")</f>
        <v>220.16596847081524</v>
      </c>
      <c r="AD29" s="22">
        <f>IFERROR((s_TR/(s_RadSpec!K29*s_EF_cw*(1/365)*s_ED_con*s_RadSpec!P29*s_ET_cw_o*(1/24)*s_RadSpec!U29))*1,".")</f>
        <v>3090.1195816834133</v>
      </c>
      <c r="AE29" s="43">
        <f>s_C*s_EF_cw*(1/365)*s_ED_con*(s_ET_cw_i+s_ET_cw_o)*(1/24)*s_RadSpec!V29*s_RadSpec!Q29*1</f>
        <v>2.410432033719704E-2</v>
      </c>
      <c r="AF29" s="43">
        <f>s_C*s_EF_cw*(1/365)*s_ED_con*(s_ET_cw_i+s_ET_cw_o)*(1/24)*s_RadSpec!W29*s_RadSpec!R29*1</f>
        <v>1.2079546995795476E-2</v>
      </c>
      <c r="AG29" s="43">
        <f>s_C*s_EF_cw*(1/365)*s_ED_con*(s_ET_cw_i+s_ET_cw_o)*(1/24)*s_RadSpec!X29*s_RadSpec!S29*1</f>
        <v>1.6956231206147681E-2</v>
      </c>
      <c r="AH29" s="43">
        <f>s_C*s_EF_cw*(1/365)*s_ED_con*(s_ET_cw_i+s_ET_cw_o)*(1/24)*s_RadSpec!Y29*s_RadSpec!T29*1</f>
        <v>1.9989470162179199E-2</v>
      </c>
      <c r="AI29" s="43">
        <f>s_C*s_EF_cw*(1/365)*s_ED_con*(s_ET_cw_i+s_ET_cw_o)*(1/24)*s_RadSpec!U29*s_RadSpec!P29*1</f>
        <v>6.7270058708414878E-3</v>
      </c>
      <c r="AJ29" s="11"/>
      <c r="AK29" s="11"/>
      <c r="AL29" s="11"/>
      <c r="AM29" s="11"/>
      <c r="AN29" s="11"/>
      <c r="AO29" s="22" t="str">
        <f>IFERROR(s_TR/(s_RadSpec!G29*s_EF_cw*s_ED_con*s_ET_cw_o*(1/24)*s_IRA_cw),".")</f>
        <v>.</v>
      </c>
      <c r="AP29" s="22">
        <f>IFERROR(s_TR/(s_RadSpec!J29*s_EF_cw*(1/365)*s_ED_con*s_ET_cw_o*(1/24)*s_GSF_a),".")</f>
        <v>37747.76804363673</v>
      </c>
      <c r="AQ29" s="22">
        <f t="shared" si="11"/>
        <v>37747.76804363673</v>
      </c>
      <c r="AR29" s="43">
        <f t="shared" si="7"/>
        <v>2343.75</v>
      </c>
      <c r="AS29" s="43">
        <f t="shared" si="8"/>
        <v>0.10702054794520549</v>
      </c>
      <c r="AT29" s="10"/>
      <c r="AU29" s="10"/>
      <c r="AV29" s="10"/>
    </row>
    <row r="30" spans="1:48" x14ac:dyDescent="0.25">
      <c r="A30" s="23" t="s">
        <v>40</v>
      </c>
      <c r="B30" s="24" t="s">
        <v>289</v>
      </c>
      <c r="C30" s="2"/>
      <c r="D30" s="22">
        <f>IFERROR((s_TR/(s_RadSpec!I30*s_EF_cw*s_ED_con*s_IRS_cw*(1/1000)))*1,".")</f>
        <v>102229.88946393204</v>
      </c>
      <c r="E30" s="22">
        <f>IFERROR(IF(A30="H-3",(s_TR/(s_RadSpec!G30*s_EF_cw*s_ED_con*s_ET_cw_o*(1/24)*s_IRA_cw*(1/17)*1000))*1,(s_TR/(s_RadSpec!G30*s_EF_cw*s_ED_con*s_ET_cw_o*(1/24)*s_IRA_cw*(1/s_PEFsc)*1000))*1),".")</f>
        <v>383.23268919965926</v>
      </c>
      <c r="F30" s="22">
        <f>IFERROR((s_TR/(s_RadSpec!F30*s_EF_cw*(1/365)*s_ED_con*s_RadSpec!Q30*s_ET_cw_o*(1/24)*s_RadSpec!V30))*1,".")</f>
        <v>27375912.784794021</v>
      </c>
      <c r="G30" s="22">
        <f t="shared" si="9"/>
        <v>381.79609238153046</v>
      </c>
      <c r="H30" s="43">
        <f t="shared" si="1"/>
        <v>9.375</v>
      </c>
      <c r="I30" s="43">
        <f t="shared" si="2"/>
        <v>4.6093989487085221</v>
      </c>
      <c r="J30" s="43">
        <f>s_C*s_EF_cw*(1/365)*s_ED_con*(s_ET_cw_i+s_ET_cw_o)*(1/24)*s_RadSpec!V30*s_RadSpec!Q30*1</f>
        <v>2.5684931506849318E-3</v>
      </c>
      <c r="K30" s="4"/>
      <c r="L30" s="4"/>
      <c r="M30" s="4"/>
      <c r="N30" s="4"/>
      <c r="O30" s="22">
        <f>IFERROR((s_TR/(s_RadSpec!I30*s_EF_cw*s_ED_con*s_IRS_cw*(1/1000)))*1,".")</f>
        <v>102229.88946393204</v>
      </c>
      <c r="P30" s="22">
        <f>IFERROR(IF(A30="H-3",(s_TR/(s_RadSpec!G30*s_EF_cw*s_ED_con*s_ET_cw_o*(1/24)*s_IRA_cw*(1/17)*1000))*1,(s_TR/(s_RadSpec!G30*s_EF_cw*s_ED_con*s_ET_cw_o*(1/24)*s_IRA_cw*(1/s_PEF__sc)*1000))*1),".")</f>
        <v>2410.3024263934449</v>
      </c>
      <c r="Q30" s="22">
        <f>IFERROR((s_TR/(s_RadSpec!F30*s_EF_cw*(1/365)*s_ED_con*s_RadSpec!Q30*s_ET_cw_o*(1/24)*s_RadSpec!V30))*1,".")</f>
        <v>27375912.784794021</v>
      </c>
      <c r="R30" s="22">
        <f t="shared" si="10"/>
        <v>2354.5805209239275</v>
      </c>
      <c r="S30" s="43">
        <f t="shared" si="4"/>
        <v>9.375</v>
      </c>
      <c r="T30" s="43">
        <f t="shared" si="5"/>
        <v>0.73288411253472296</v>
      </c>
      <c r="U30" s="43">
        <f>s_C*s_EF_cw*(1/365)*s_ED_con*(s_ET_cw_i+s_ET_cw_o)*(1/24)*s_RadSpec!V30*s_RadSpec!Q30*1</f>
        <v>2.5684931506849318E-3</v>
      </c>
      <c r="V30" s="11"/>
      <c r="W30" s="11"/>
      <c r="X30" s="11"/>
      <c r="Y30" s="11"/>
      <c r="Z30" s="22">
        <f>IFERROR((s_TR/(s_RadSpec!F30*s_EF_cw*(1/365)*s_ED_con*s_RadSpec!Q30*s_ET_cw_o*(1/24)*s_RadSpec!V30))*1,".")</f>
        <v>27375912.784794021</v>
      </c>
      <c r="AA30" s="22">
        <f>IFERROR((s_TR/(s_RadSpec!M30*s_EF_cw*(1/365)*s_ED_con*s_RadSpec!R30*s_ET_cw_o*(1/24)*s_RadSpec!W30))*1,".")</f>
        <v>459883298.33045858</v>
      </c>
      <c r="AB30" s="22">
        <f>IFERROR((s_TR/(s_RadSpec!N30*s_EF_cw*(1/365)*s_ED_con*s_RadSpec!S30*s_ET_cw_o*(1/24)*s_RadSpec!X30))*1,".")</f>
        <v>67880523.218700811</v>
      </c>
      <c r="AC30" s="22">
        <f>IFERROR((s_TR/(s_RadSpec!O30*s_EF_cw*(1/365)*s_ED_con*s_RadSpec!T30*s_ET_cw_o*(1/24)*s_RadSpec!Y30))*1,".")</f>
        <v>37196002.852860518</v>
      </c>
      <c r="AD30" s="22">
        <f>IFERROR((s_TR/(s_RadSpec!K30*s_EF_cw*(1/365)*s_ED_con*s_RadSpec!P30*s_ET_cw_o*(1/24)*s_RadSpec!U30))*1,".")</f>
        <v>6538012112.1331606</v>
      </c>
      <c r="AE30" s="43">
        <f>s_C*s_EF_cw*(1/365)*s_ED_con*(s_ET_cw_i+s_ET_cw_o)*(1/24)*s_RadSpec!V30*s_RadSpec!Q30*1</f>
        <v>2.5684931506849318E-3</v>
      </c>
      <c r="AF30" s="43">
        <f>s_C*s_EF_cw*(1/365)*s_ED_con*(s_ET_cw_i+s_ET_cw_o)*(1/24)*s_RadSpec!W30*s_RadSpec!R30*1</f>
        <v>5.24292583367926E-4</v>
      </c>
      <c r="AG30" s="43">
        <f>s_C*s_EF_cw*(1/365)*s_ED_con*(s_ET_cw_i+s_ET_cw_o)*(1/24)*s_RadSpec!X30*s_RadSpec!S30*1</f>
        <v>1.4548889938592355E-3</v>
      </c>
      <c r="AH30" s="43">
        <f>s_C*s_EF_cw*(1/365)*s_ED_con*(s_ET_cw_i+s_ET_cw_o)*(1/24)*s_RadSpec!Y30*s_RadSpec!T30*1</f>
        <v>1.954576829138791E-3</v>
      </c>
      <c r="AI30" s="43">
        <f>s_C*s_EF_cw*(1/365)*s_ED_con*(s_ET_cw_i+s_ET_cw_o)*(1/24)*s_RadSpec!U30*s_RadSpec!P30*1</f>
        <v>2.1404109589041099E-5</v>
      </c>
      <c r="AJ30" s="11"/>
      <c r="AK30" s="11"/>
      <c r="AL30" s="11"/>
      <c r="AM30" s="11"/>
      <c r="AN30" s="11"/>
      <c r="AO30" s="22">
        <f>IFERROR(s_TR/(s_RadSpec!G30*s_EF_cw*s_ED_con*s_ET_cw_o*(1/24)*s_IRA_cw),".")</f>
        <v>0.75369487134193036</v>
      </c>
      <c r="AP30" s="22">
        <f>IFERROR(s_TR/(s_RadSpec!J30*s_EF_cw*(1/365)*s_ED_con*s_ET_cw_o*(1/24)*s_GSF_a),".")</f>
        <v>498289341.54738402</v>
      </c>
      <c r="AQ30" s="22">
        <f t="shared" si="11"/>
        <v>0.75369487020191805</v>
      </c>
      <c r="AR30" s="43">
        <f t="shared" si="7"/>
        <v>2343.75</v>
      </c>
      <c r="AS30" s="43">
        <f t="shared" si="8"/>
        <v>0.10702054794520549</v>
      </c>
      <c r="AT30" s="10"/>
      <c r="AU30" s="10"/>
      <c r="AV30" s="10"/>
    </row>
    <row r="31" spans="1:48" x14ac:dyDescent="0.25">
      <c r="A31" s="26" t="s">
        <v>13</v>
      </c>
      <c r="B31" s="26" t="s">
        <v>289</v>
      </c>
      <c r="C31" s="110"/>
      <c r="D31" s="27">
        <f>1/SUM(1/D32,1/D33,1/D34,1/D35,1/D36,1/D37,1/D38,1/D41,1/D44)</f>
        <v>9614.9500248924232</v>
      </c>
      <c r="E31" s="27">
        <f>1/SUM(1/E32,1/E33,1/E34,1/E35,1/E36,1/E37,1/E38,1/E41,1/E44)</f>
        <v>33.461820283521945</v>
      </c>
      <c r="F31" s="27">
        <f>1/SUM(1/F32,1/F33,1/F34,1/F35,1/F36,1/F37,1/F38,1/F39,1/F40,1/F41,1/F42,1/F43)</f>
        <v>2427.6168994739951</v>
      </c>
      <c r="G31" s="28">
        <f>1/SUM(1/G32,1/G33,1/G34,1/G35,1/G36,1/G37,1/G38,1/G39,1/G40,1/G41,1/G42,1/G43,1/G44)</f>
        <v>32.893939289258569</v>
      </c>
      <c r="H31" s="45"/>
      <c r="I31" s="45"/>
      <c r="J31" s="45"/>
      <c r="K31" s="46">
        <f>IFERROR(IF(SUM(H32:H44)&gt;0.01,1-EXP(-SUM(H32:H44)),SUM(H32:H44)),".")</f>
        <v>5.2002350371612494E-9</v>
      </c>
      <c r="L31" s="46">
        <f>IFERROR(IF(SUM(I32:I44)&gt;0.01,1-EXP(-SUM(I32:I44)),SUM(I32:I44)),".")</f>
        <v>1.4942402886737809E-6</v>
      </c>
      <c r="M31" s="46">
        <f>IFERROR(IF(SUM(J32:J44)&gt;0.01,1-EXP(-SUM(J32:J44)),SUM(J32:J44)),".")</f>
        <v>2.0596330504551104E-8</v>
      </c>
      <c r="N31" s="46">
        <f>IFERROR(IF(SUM(H32:J44)&gt;0.01,1-EXP(-SUM(H32:J44)),SUM(H32:J44)),".")</f>
        <v>1.5200368542154934E-6</v>
      </c>
      <c r="O31" s="27">
        <f>1/SUM(1/O32,1/O33,1/O34,1/O35,1/O36,1/O37,1/O38,1/O41,1/O44)</f>
        <v>9614.9500248924232</v>
      </c>
      <c r="P31" s="27">
        <f>1/SUM(1/P32,1/P33,1/P34,1/P35,1/P36,1/P37,1/P38,1/P41,1/P44)</f>
        <v>210.45466343006845</v>
      </c>
      <c r="Q31" s="27">
        <f>1/SUM(1/Q32,1/Q33,1/Q34,1/Q35,1/Q36,1/Q37,1/Q38,1/Q39,1/Q40,1/Q41,1/Q42,1/Q43)</f>
        <v>2427.6168994739951</v>
      </c>
      <c r="R31" s="28">
        <f>1/SUM(1/R32,1/R33,1/R34,1/R35,1/R36,1/R37,1/R38,1/R39,1/R40,1/R41,1/R42,1/R43,1/R44)</f>
        <v>189.8416306290018</v>
      </c>
      <c r="S31" s="45"/>
      <c r="T31" s="45"/>
      <c r="U31" s="45"/>
      <c r="V31" s="46">
        <f>IFERROR(IF(SUM(S32:S44)&gt;0.01,1-EXP(-SUM(S32:S44)),SUM(S32:S44)),".")</f>
        <v>5.2002350371612494E-9</v>
      </c>
      <c r="W31" s="46">
        <f>IFERROR(IF(SUM(T32:T44)&gt;0.01,1-EXP(-SUM(T32:T44)),SUM(T32:T44)),".")</f>
        <v>2.3758086033866575E-7</v>
      </c>
      <c r="X31" s="46">
        <f>IFERROR(IF(SUM(U32:U44)&gt;0.01,1-EXP(-SUM(U32:U44)),SUM(U32:U44)),".")</f>
        <v>2.0596330504551104E-8</v>
      </c>
      <c r="Y31" s="46">
        <f>IFERROR(IF(SUM(S32:U44)&gt;0.01,1-EXP(-SUM(S32:U44)),SUM(S32:U44)),".")</f>
        <v>2.6337742588037809E-7</v>
      </c>
      <c r="Z31" s="27">
        <f t="shared" ref="Z31:AD31" si="12">1/SUM(1/Z32,1/Z33,1/Z34,1/Z35,1/Z36,1/Z37,1/Z38,1/Z39,1/Z40,1/Z41,1/Z42,1/Z43)</f>
        <v>2427.6168994739951</v>
      </c>
      <c r="AA31" s="27">
        <f t="shared" si="12"/>
        <v>20975.397382305975</v>
      </c>
      <c r="AB31" s="27">
        <f t="shared" si="12"/>
        <v>5485.6643831027004</v>
      </c>
      <c r="AC31" s="27">
        <f t="shared" si="12"/>
        <v>3261.2413468795917</v>
      </c>
      <c r="AD31" s="27">
        <f t="shared" si="12"/>
        <v>45698.489941031512</v>
      </c>
      <c r="AE31" s="45"/>
      <c r="AF31" s="37"/>
      <c r="AG31" s="37"/>
      <c r="AH31" s="37"/>
      <c r="AI31" s="37"/>
      <c r="AJ31" s="46">
        <f>IFERROR(IF(SUM(AE32:AE44)&gt;0.01,1-EXP(-SUM(AE32:AE44)),SUM(AE32:AE44)),".")</f>
        <v>2.0596330504551104E-8</v>
      </c>
      <c r="AK31" s="46">
        <f t="shared" ref="AK31:AN31" si="13">IFERROR(IF(SUM(AF32:AF44)&gt;0.01,1-EXP(-SUM(AF32:AF44)),SUM(AF32:AF44)),".")</f>
        <v>2.3837450651675401E-9</v>
      </c>
      <c r="AL31" s="46">
        <f t="shared" si="13"/>
        <v>9.1146662479048586E-9</v>
      </c>
      <c r="AM31" s="46">
        <f t="shared" si="13"/>
        <v>1.5331585332634406E-8</v>
      </c>
      <c r="AN31" s="46">
        <f t="shared" si="13"/>
        <v>1.0941280568464974E-9</v>
      </c>
      <c r="AO31" s="27">
        <f>1/SUM(1/AO32,1/AO33,1/AO34,1/AO35,1/AO36,1/AO37,1/AO38,1/AO41,1/AO44)</f>
        <v>6.5808588474342206E-2</v>
      </c>
      <c r="AP31" s="27">
        <f t="shared" ref="AP31:AQ31" si="14">1/SUM(1/AP32,1/AP33,1/AP34,1/AP35,1/AP36,1/AP37,1/AP38,1/AP39,1/AP40,1/AP41,1/AP42,1/AP43,1/AP44)</f>
        <v>211423.07642352546</v>
      </c>
      <c r="AQ31" s="28">
        <f t="shared" si="14"/>
        <v>6.5808567990443073E-2</v>
      </c>
      <c r="AR31" s="45"/>
      <c r="AS31" s="45"/>
      <c r="AT31" s="46">
        <f>IFERROR(IF(SUM(AR32:AR44)&gt;0.01,1-EXP(-SUM(AR32:AR44)),SUM(AR32:AR44)),".")</f>
        <v>7.5977925008214188E-4</v>
      </c>
      <c r="AU31" s="46">
        <f>IFERROR(IF(SUM(AS32:AS44)&gt;0.01,1-EXP(-SUM(AS32:AS44)),SUM(AS32:AS44)),".")</f>
        <v>2.3649263290370133E-10</v>
      </c>
      <c r="AV31" s="46">
        <f>IFERROR(IF(SUM(AR32:AS44)&gt;0.01,1-EXP(-SUM(AR32:AS44)),SUM(AR32:AS44)),".")</f>
        <v>7.5977948657477475E-4</v>
      </c>
    </row>
    <row r="32" spans="1:48" x14ac:dyDescent="0.25">
      <c r="A32" s="29" t="s">
        <v>290</v>
      </c>
      <c r="B32" s="24">
        <v>1</v>
      </c>
      <c r="C32" s="2"/>
      <c r="D32" s="30">
        <f>IFERROR(D3/$B32,0)</f>
        <v>58595.180546400064</v>
      </c>
      <c r="E32" s="30">
        <f>IFERROR(E3/$B32,0)</f>
        <v>287.42451689974445</v>
      </c>
      <c r="F32" s="30">
        <f>IFERROR(F3/$B32,0)</f>
        <v>58788906.378991231</v>
      </c>
      <c r="G32" s="30">
        <f>IF(AND(D32&lt;&gt;0,E32&lt;&gt;0,F32&lt;&gt;0),1/((1/D32)+(1/E32)+(1/F32)),IF(AND(D32&lt;&gt;0,E32&lt;&gt;0,F32=0), 1/((1/D32)+(1/E32)),IF(AND(D32&lt;&gt;0,E32=0,F32&lt;&gt;0),1/((1/D32)+(1/F32)),IF(AND(D32=0,E32&lt;&gt;0,F32&lt;&gt;0),1/((1/E32)+(1/F32)),IF(AND(D32&lt;&gt;0,E32=0,F32=0),1/((1/D32)),IF(AND(D32=0,E32&lt;&gt;0,F32=0),1/((1/E32)),IF(AND(D32=0,E32=0,F32&lt;&gt;0),1/((1/F32)),IF(AND(D32=0,E32=0,F32=0),0))))))))</f>
        <v>286.02011586963425</v>
      </c>
      <c r="H32" s="38">
        <f>IFERROR(s_RadSpec!$I$3*H3,".")*$B$32</f>
        <v>8.5331249999999999E-10</v>
      </c>
      <c r="I32" s="38">
        <f>IFERROR(s_RadSpec!$G$3*I3,".")*$B$32</f>
        <v>1.7395871632425962E-7</v>
      </c>
      <c r="J32" s="38">
        <f>IFERROR(s_RadSpec!$F$3*J3,".")*$B$32</f>
        <v>8.505005974710219E-13</v>
      </c>
      <c r="K32" s="47">
        <f t="shared" ref="K32:M44" si="15">IFERROR(IF(H32&gt;0.01,1-EXP(-H32),H32),".")</f>
        <v>8.5331249999999999E-10</v>
      </c>
      <c r="L32" s="47">
        <f t="shared" si="15"/>
        <v>1.7395871632425962E-7</v>
      </c>
      <c r="M32" s="47">
        <f t="shared" si="15"/>
        <v>8.505005974710219E-13</v>
      </c>
      <c r="N32" s="47">
        <f>IFERROR(IF(SUM(H32:J32)&gt;0.01,1-EXP(-SUM(H32:J32)),SUM(H32:J32)),".")</f>
        <v>1.748128793248571E-7</v>
      </c>
      <c r="O32" s="30">
        <f>IFERROR(O3/$B32,0)</f>
        <v>58595.180546400064</v>
      </c>
      <c r="P32" s="30">
        <f>IFERROR(P3/$B32,0)</f>
        <v>1807.7268197950834</v>
      </c>
      <c r="Q32" s="30">
        <f>IFERROR(Q3/$B32,0)</f>
        <v>58788906.378991231</v>
      </c>
      <c r="R32" s="30">
        <f>IF(AND(O32&lt;&gt;0,P32&lt;&gt;0,Q32&lt;&gt;0),1/((1/O32)+(1/P32)+(1/Q32)),IF(AND(O32&lt;&gt;0,P32&lt;&gt;0,Q32=0), 1/((1/O32)+(1/P32)),IF(AND(O32&lt;&gt;0,P32=0,Q32&lt;&gt;0),1/((1/O32)+(1/Q32)),IF(AND(O32=0,P32&lt;&gt;0,Q32&lt;&gt;0),1/((1/P32)+(1/Q32)),IF(AND(O32&lt;&gt;0,P32=0,Q32=0),1/((1/O32)),IF(AND(O32=0,P32&lt;&gt;0,Q32=0),1/((1/P32)),IF(AND(O32=0,P32=0,Q32&lt;&gt;0),1/((1/Q32)),IF(AND(O32=0,P32=0,Q32=0),0))))))))</f>
        <v>1753.5732047957842</v>
      </c>
      <c r="S32" s="38">
        <f>IFERROR(s_RadSpec!$I$3*S3,".")*$B$32</f>
        <v>8.5331249999999999E-10</v>
      </c>
      <c r="T32" s="38">
        <f>IFERROR(s_RadSpec!$G$3*T3,".")*$B$32</f>
        <v>2.7659046407060444E-8</v>
      </c>
      <c r="U32" s="38">
        <f>IFERROR(s_RadSpec!$F$3*U3,".")*$B$32</f>
        <v>8.505005974710219E-13</v>
      </c>
      <c r="V32" s="47">
        <f t="shared" ref="V32:X44" si="16">IFERROR(IF(S32&gt;0.01,1-EXP(-S32),S32),".")</f>
        <v>8.5331249999999999E-10</v>
      </c>
      <c r="W32" s="47">
        <f t="shared" si="16"/>
        <v>2.7659046407060444E-8</v>
      </c>
      <c r="X32" s="47">
        <f t="shared" si="16"/>
        <v>8.505005974710219E-13</v>
      </c>
      <c r="Y32" s="47">
        <f>IFERROR(IF(SUM(S32:U32)&gt;0.01,1-EXP(-SUM(S32:U32)),SUM(S32:U32)),".")</f>
        <v>2.8513209407657915E-8</v>
      </c>
      <c r="Z32" s="30">
        <f t="shared" ref="Z32:AP32" si="17">IFERROR(Z3/$B32,0)</f>
        <v>58788906.378991231</v>
      </c>
      <c r="AA32" s="30">
        <f t="shared" si="17"/>
        <v>165842966.40615806</v>
      </c>
      <c r="AB32" s="30">
        <f t="shared" si="17"/>
        <v>67080192.731080368</v>
      </c>
      <c r="AC32" s="30">
        <f t="shared" si="17"/>
        <v>64420886.099516124</v>
      </c>
      <c r="AD32" s="30">
        <f t="shared" si="17"/>
        <v>189311359.51767519</v>
      </c>
      <c r="AE32" s="38">
        <f>IFERROR(s_RadSpec!$F$3*AE3,".")*$B$32</f>
        <v>8.505005974710219E-13</v>
      </c>
      <c r="AF32" s="38">
        <f>IFERROR(s_RadSpec!$M$3*AF3,".")*$B$32</f>
        <v>3.014900244701811E-13</v>
      </c>
      <c r="AG32" s="38">
        <f>IFERROR(s_RadSpec!$N$3*AG3,".")*$B$32</f>
        <v>7.4537651077489273E-13</v>
      </c>
      <c r="AH32" s="38">
        <f>IFERROR(s_RadSpec!$O$3*AH3,".")*$B$32</f>
        <v>7.7614579723043541E-13</v>
      </c>
      <c r="AI32" s="38">
        <f>IFERROR(s_RadSpec!$K$3*AI3,".")*$B$32</f>
        <v>2.6411515995336628E-13</v>
      </c>
      <c r="AJ32" s="47">
        <f>IFERROR(IF(AE32&gt;0.01,1-EXP(-AE32),AE32),".")</f>
        <v>8.505005974710219E-13</v>
      </c>
      <c r="AK32" s="47">
        <f t="shared" ref="AK32:AN44" si="18">IFERROR(IF(AF32&gt;0.01,1-EXP(-AF32),AF32),".")</f>
        <v>3.014900244701811E-13</v>
      </c>
      <c r="AL32" s="47">
        <f t="shared" si="18"/>
        <v>7.4537651077489273E-13</v>
      </c>
      <c r="AM32" s="47">
        <f t="shared" si="18"/>
        <v>7.7614579723043541E-13</v>
      </c>
      <c r="AN32" s="47">
        <f t="shared" si="18"/>
        <v>2.6411515995336628E-13</v>
      </c>
      <c r="AO32" s="30">
        <f t="shared" si="17"/>
        <v>0.56527115350644774</v>
      </c>
      <c r="AP32" s="30">
        <f t="shared" si="17"/>
        <v>8050831.816147875</v>
      </c>
      <c r="AQ32" s="30">
        <f>IFERROR(IF(AND(AO32&lt;&gt;0,AP32&lt;&gt;0),1/((1/AO32)+(1/AP32)),IF(AND(AO32&lt;&gt;0,AP32=0),1/((1/AO32)),IF(AND(AO32=0,AP32&lt;&gt;0),1/((1/AP32)),IF(AND(AO32=0,AP32=0),0)))),0)</f>
        <v>0.56527111381720052</v>
      </c>
      <c r="AR32" s="38">
        <f>IFERROR(s_RadSpec!$G$3*AR3,".")*$B$32</f>
        <v>8.8453125000000004E-5</v>
      </c>
      <c r="AS32" s="38">
        <f>IFERROR(s_RadSpec!$J$3*AS3,".")*$B$32</f>
        <v>6.2105383818493158E-12</v>
      </c>
      <c r="AT32" s="47">
        <f>IFERROR(IF(AR32&gt;0.01,1-EXP(-AR32),AR32),".")</f>
        <v>8.8453125000000004E-5</v>
      </c>
      <c r="AU32" s="47">
        <f>IFERROR(IF(AS32&gt;0.01,1-EXP(-AS32),AS32),".")</f>
        <v>6.2105383818493158E-12</v>
      </c>
      <c r="AV32" s="47">
        <f>IFERROR(IF(SUM(AR32:AS32)&gt;0.01,1-EXP(-SUM(AR32:AS32)),SUM(AR32:AS32)),".")</f>
        <v>8.8453131210538381E-5</v>
      </c>
    </row>
    <row r="33" spans="1:48" x14ac:dyDescent="0.25">
      <c r="A33" s="29" t="s">
        <v>291</v>
      </c>
      <c r="B33" s="24">
        <v>1</v>
      </c>
      <c r="C33" s="2"/>
      <c r="D33" s="30">
        <f t="shared" ref="D33:F34" si="19">IFERROR(D13/$B33,0)</f>
        <v>113499.32609775133</v>
      </c>
      <c r="E33" s="30">
        <f t="shared" si="19"/>
        <v>378.28775127450234</v>
      </c>
      <c r="F33" s="30">
        <f t="shared" si="19"/>
        <v>776780.30935241934</v>
      </c>
      <c r="G33" s="30">
        <f>IF(AND(D33&lt;&gt;0,E33&lt;&gt;0,F33&lt;&gt;0),1/((1/D33)+(1/E33)+(1/F33)),IF(AND(D33&lt;&gt;0,E33&lt;&gt;0,F33=0), 1/((1/D33)+(1/E33)),IF(AND(D33&lt;&gt;0,E33=0,F33&lt;&gt;0),1/((1/D33)+(1/F33)),IF(AND(D33=0,E33&lt;&gt;0,F33&lt;&gt;0),1/((1/E33)+(1/F33)),IF(AND(D33&lt;&gt;0,E33=0,F33=0),1/((1/D33)),IF(AND(D33=0,E33&lt;&gt;0,F33=0),1/((1/E33)),IF(AND(D33=0,E33=0,F33&lt;&gt;0),1/((1/F33)),IF(AND(D33=0,E33=0,F33=0),0))))))))</f>
        <v>376.84821144332909</v>
      </c>
      <c r="H33" s="38">
        <f>IFERROR(s_RadSpec!$I$13*H13,".")*$B$33</f>
        <v>4.4053124999999996E-10</v>
      </c>
      <c r="I33" s="38">
        <f>IFERROR(s_RadSpec!$G$13*I13,".")*$B$33</f>
        <v>1.3217451485421686E-7</v>
      </c>
      <c r="J33" s="38">
        <f>IFERROR(s_RadSpec!$F$13*J13,".")*$B$33</f>
        <v>6.4368263971165336E-11</v>
      </c>
      <c r="K33" s="47">
        <f t="shared" si="15"/>
        <v>4.4053124999999996E-10</v>
      </c>
      <c r="L33" s="47">
        <f t="shared" si="15"/>
        <v>1.3217451485421686E-7</v>
      </c>
      <c r="M33" s="47">
        <f t="shared" si="15"/>
        <v>6.4368263971165336E-11</v>
      </c>
      <c r="N33" s="47">
        <f t="shared" ref="N33:N44" si="20">IFERROR(IF(SUM(H33:J33)&gt;0.01,1-EXP(-SUM(H33:J33)),SUM(H33:J33)),".")</f>
        <v>1.32679414368188E-7</v>
      </c>
      <c r="O33" s="30">
        <f t="shared" ref="O33:Q34" si="21">IFERROR(O13/$B33,0)</f>
        <v>113499.32609775133</v>
      </c>
      <c r="P33" s="30">
        <f t="shared" si="21"/>
        <v>2379.2017499238518</v>
      </c>
      <c r="Q33" s="30">
        <f t="shared" si="21"/>
        <v>776780.30935241934</v>
      </c>
      <c r="R33" s="30">
        <f>IF(AND(O33&lt;&gt;0,P33&lt;&gt;0,Q33&lt;&gt;0),1/((1/O33)+(1/P33)+(1/Q33)),IF(AND(O33&lt;&gt;0,P33&lt;&gt;0,Q33=0), 1/((1/O33)+(1/P33)),IF(AND(O33&lt;&gt;0,P33=0,Q33&lt;&gt;0),1/((1/O33)+(1/Q33)),IF(AND(O33=0,P33&lt;&gt;0,Q33&lt;&gt;0),1/((1/P33)+(1/Q33)),IF(AND(O33&lt;&gt;0,P33=0,Q33=0),1/((1/O33)),IF(AND(O33=0,P33&lt;&gt;0,Q33=0),1/((1/P33)),IF(AND(O33=0,P33=0,Q33&lt;&gt;0),1/((1/Q33)),IF(AND(O33=0,P33=0,Q33=0),0))))))))</f>
        <v>2323.3821314350653</v>
      </c>
      <c r="S33" s="38">
        <f>IFERROR(s_RadSpec!$I$13*S13,".")*$B$33</f>
        <v>4.4053124999999996E-10</v>
      </c>
      <c r="T33" s="38">
        <f>IFERROR(s_RadSpec!$G$13*T13,".")*$B$33</f>
        <v>2.1015451926933183E-8</v>
      </c>
      <c r="U33" s="38">
        <f>IFERROR(s_RadSpec!$F$13*U13,".")*$B$33</f>
        <v>6.4368263971165336E-11</v>
      </c>
      <c r="V33" s="47">
        <f t="shared" si="16"/>
        <v>4.4053124999999996E-10</v>
      </c>
      <c r="W33" s="47">
        <f t="shared" si="16"/>
        <v>2.1015451926933183E-8</v>
      </c>
      <c r="X33" s="47">
        <f t="shared" si="16"/>
        <v>6.4368263971165336E-11</v>
      </c>
      <c r="Y33" s="47">
        <f t="shared" ref="Y33:Y44" si="22">IFERROR(IF(SUM(S33:U33)&gt;0.01,1-EXP(-SUM(S33:U33)),SUM(S33:U33)),".")</f>
        <v>2.1520351440904349E-8</v>
      </c>
      <c r="Z33" s="30">
        <f t="shared" ref="Z33:AP34" si="23">IFERROR(Z13/$B33,0)</f>
        <v>776780.30935241934</v>
      </c>
      <c r="AA33" s="30">
        <f t="shared" si="23"/>
        <v>5050043.5668634372</v>
      </c>
      <c r="AB33" s="30">
        <f t="shared" si="23"/>
        <v>1260828.6130423269</v>
      </c>
      <c r="AC33" s="30">
        <f t="shared" si="23"/>
        <v>834558.6304714781</v>
      </c>
      <c r="AD33" s="30">
        <f t="shared" si="23"/>
        <v>40108563.887304969</v>
      </c>
      <c r="AE33" s="38">
        <f>IFERROR(s_RadSpec!$F$13*AE13,".")*$B$33</f>
        <v>6.4368263971165336E-11</v>
      </c>
      <c r="AF33" s="38">
        <f>IFERROR(s_RadSpec!$M$13*AF13,".")*$B$33</f>
        <v>9.9009046828985706E-12</v>
      </c>
      <c r="AG33" s="38">
        <f>IFERROR(s_RadSpec!$N$13*AG13,".")*$B$33</f>
        <v>3.9656460428314768E-11</v>
      </c>
      <c r="AH33" s="38">
        <f>IFERROR(s_RadSpec!$O$13*AH13,".")*$B$33</f>
        <v>5.9911908132509338E-11</v>
      </c>
      <c r="AI33" s="38">
        <f>IFERROR(s_RadSpec!$K$13*AI13,".")*$B$33</f>
        <v>1.2466165615026133E-12</v>
      </c>
      <c r="AJ33" s="47">
        <f t="shared" ref="AJ33:AJ44" si="24">IFERROR(IF(AE33&gt;0.01,1-EXP(-AE33),AE33),".")</f>
        <v>6.4368263971165336E-11</v>
      </c>
      <c r="AK33" s="47">
        <f t="shared" si="18"/>
        <v>9.9009046828985706E-12</v>
      </c>
      <c r="AL33" s="47">
        <f t="shared" si="18"/>
        <v>3.9656460428314768E-11</v>
      </c>
      <c r="AM33" s="47">
        <f t="shared" si="18"/>
        <v>5.9911908132509338E-11</v>
      </c>
      <c r="AN33" s="47">
        <f t="shared" si="18"/>
        <v>1.2466165615026133E-12</v>
      </c>
      <c r="AO33" s="30">
        <f t="shared" si="23"/>
        <v>0.74396977622784088</v>
      </c>
      <c r="AP33" s="30">
        <f t="shared" si="23"/>
        <v>6090203.0633569155</v>
      </c>
      <c r="AQ33" s="30">
        <f t="shared" ref="AQ33:AQ44" si="25">IFERROR(IF(AND(AO33&lt;&gt;0,AP33&lt;&gt;0),1/((1/AO33)+(1/AP33)),IF(AND(AO33&lt;&gt;0,AP33=0),1/((1/AO33)),IF(AND(AO33=0,AP33&lt;&gt;0),1/((1/AP33)),IF(AND(AO33=0,AP33=0),0)))),0)</f>
        <v>0.74396968534565611</v>
      </c>
      <c r="AR33" s="38">
        <f>IFERROR(s_RadSpec!$G$13*AR13,".")*$B$33</f>
        <v>6.7207031250000006E-5</v>
      </c>
      <c r="AS33" s="38">
        <f>IFERROR(s_RadSpec!$J$13*AS13,".")*$B$33</f>
        <v>8.2099068750000003E-12</v>
      </c>
      <c r="AT33" s="47">
        <f t="shared" ref="AT33:AU44" si="26">IFERROR(IF(AR33&gt;0.01,1-EXP(-AR33),AR33),".")</f>
        <v>6.7207031250000006E-5</v>
      </c>
      <c r="AU33" s="47">
        <f t="shared" si="26"/>
        <v>8.2099068750000003E-12</v>
      </c>
      <c r="AV33" s="47">
        <f t="shared" ref="AV33:AV44" si="27">IFERROR(IF(SUM(AR33:AS33)&gt;0.01,1-EXP(-SUM(AR33:AS33)),SUM(AR33:AS33)),".")</f>
        <v>6.7207039459906881E-5</v>
      </c>
    </row>
    <row r="34" spans="1:48" x14ac:dyDescent="0.25">
      <c r="A34" s="29" t="s">
        <v>292</v>
      </c>
      <c r="B34" s="24">
        <v>1</v>
      </c>
      <c r="C34" s="2"/>
      <c r="D34" s="30">
        <f t="shared" si="19"/>
        <v>2065102.3516353031</v>
      </c>
      <c r="E34" s="30">
        <f t="shared" si="19"/>
        <v>709862.00299694738</v>
      </c>
      <c r="F34" s="30">
        <f t="shared" si="19"/>
        <v>7508.343807648961</v>
      </c>
      <c r="G34" s="30">
        <f>IF(AND(D34&lt;&gt;0,E34&lt;&gt;0,F34&lt;&gt;0),1/((1/D34)+(1/E34)+(1/F34)),IF(AND(D34&lt;&gt;0,E34&lt;&gt;0,F34=0), 1/((1/D34)+(1/E34)),IF(AND(D34&lt;&gt;0,E34=0,F34&lt;&gt;0),1/((1/D34)+(1/F34)),IF(AND(D34=0,E34&lt;&gt;0,F34&lt;&gt;0),1/((1/E34)+(1/F34)),IF(AND(D34&lt;&gt;0,E34=0,F34=0),1/((1/D34)),IF(AND(D34=0,E34&lt;&gt;0,F34=0),1/((1/E34)),IF(AND(D34=0,E34=0,F34&lt;&gt;0),1/((1/F34)),IF(AND(D34=0,E34=0,F34=0),0))))))))</f>
        <v>7403.1231475701525</v>
      </c>
      <c r="H34" s="38">
        <f>IFERROR(s_RadSpec!$I$14*H14,".")*$B$34</f>
        <v>2.4211875E-11</v>
      </c>
      <c r="I34" s="38">
        <f>IFERROR(s_RadSpec!$G$14*I14,".")*$B$33</f>
        <v>7.043622533521492E-11</v>
      </c>
      <c r="J34" s="38">
        <f>IFERROR(s_RadSpec!$F$14*J14,".")*$B$33</f>
        <v>6.6592581907428918E-9</v>
      </c>
      <c r="K34" s="47">
        <f t="shared" si="15"/>
        <v>2.4211875E-11</v>
      </c>
      <c r="L34" s="47">
        <f t="shared" si="15"/>
        <v>7.043622533521492E-11</v>
      </c>
      <c r="M34" s="47">
        <f t="shared" si="15"/>
        <v>6.6592581907428918E-9</v>
      </c>
      <c r="N34" s="47">
        <f t="shared" si="20"/>
        <v>6.7539062910781064E-9</v>
      </c>
      <c r="O34" s="30">
        <f t="shared" si="21"/>
        <v>2065102.3516353031</v>
      </c>
      <c r="P34" s="30">
        <f t="shared" si="21"/>
        <v>4464603.768016913</v>
      </c>
      <c r="Q34" s="30">
        <f t="shared" si="21"/>
        <v>7508.343807648961</v>
      </c>
      <c r="R34" s="30">
        <f>IF(AND(O34&lt;&gt;0,P34&lt;&gt;0,Q34&lt;&gt;0),1/((1/O34)+(1/P34)+(1/Q34)),IF(AND(O34&lt;&gt;0,P34&lt;&gt;0,Q34=0), 1/((1/O34)+(1/P34)),IF(AND(O34&lt;&gt;0,P34=0,Q34&lt;&gt;0),1/((1/O34)+(1/Q34)),IF(AND(O34=0,P34&lt;&gt;0,Q34&lt;&gt;0),1/((1/P34)+(1/Q34)),IF(AND(O34&lt;&gt;0,P34=0,Q34=0),1/((1/O34)),IF(AND(O34=0,P34&lt;&gt;0,Q34=0),1/((1/P34)),IF(AND(O34=0,P34=0,Q34&lt;&gt;0),1/((1/Q34)),IF(AND(O34=0,P34=0,Q34=0),0))))))))</f>
        <v>7468.6288447426286</v>
      </c>
      <c r="S34" s="38">
        <f>IFERROR(s_RadSpec!$I$14*S14,".")*$B$34</f>
        <v>2.4211875E-11</v>
      </c>
      <c r="T34" s="38">
        <f>IFERROR(s_RadSpec!$G$14*T14,".")*$B$33</f>
        <v>1.1199202123643102E-11</v>
      </c>
      <c r="U34" s="38">
        <f>IFERROR(s_RadSpec!$F$14*U14,".")*$B$33</f>
        <v>6.6592581907428918E-9</v>
      </c>
      <c r="V34" s="47">
        <f t="shared" si="16"/>
        <v>2.4211875E-11</v>
      </c>
      <c r="W34" s="47">
        <f t="shared" si="16"/>
        <v>1.1199202123643102E-11</v>
      </c>
      <c r="X34" s="47">
        <f t="shared" si="16"/>
        <v>6.6592581907428918E-9</v>
      </c>
      <c r="Y34" s="47">
        <f t="shared" si="22"/>
        <v>6.6946692678665348E-9</v>
      </c>
      <c r="Z34" s="30">
        <f t="shared" si="23"/>
        <v>7508.343807648961</v>
      </c>
      <c r="AA34" s="30">
        <f t="shared" si="23"/>
        <v>57484.798049429424</v>
      </c>
      <c r="AB34" s="30">
        <f t="shared" si="23"/>
        <v>15482.514739139149</v>
      </c>
      <c r="AC34" s="30">
        <f t="shared" si="23"/>
        <v>9336.6195058311332</v>
      </c>
      <c r="AD34" s="30">
        <f t="shared" si="23"/>
        <v>162589.84256663523</v>
      </c>
      <c r="AE34" s="38">
        <f>IFERROR(s_RadSpec!$F$14*AE14,".")*$B$33</f>
        <v>6.6592581907428918E-9</v>
      </c>
      <c r="AF34" s="38">
        <f>IFERROR(s_RadSpec!$M$14*AF14,".")*$B$33</f>
        <v>8.6979517536108486E-10</v>
      </c>
      <c r="AG34" s="38">
        <f>IFERROR(s_RadSpec!$N$14*AG14,".")*$B$33</f>
        <v>3.2294495333889205E-9</v>
      </c>
      <c r="AH34" s="38">
        <f>IFERROR(s_RadSpec!$O$14*AH14,".")*$B$33</f>
        <v>5.3552573250706854E-9</v>
      </c>
      <c r="AI34" s="38">
        <f>IFERROR(s_RadSpec!$K$14*AI14,".")*$B$33</f>
        <v>3.0752228559116901E-10</v>
      </c>
      <c r="AJ34" s="47">
        <f t="shared" si="24"/>
        <v>6.6592581907428918E-9</v>
      </c>
      <c r="AK34" s="47">
        <f t="shared" si="18"/>
        <v>8.6979517536108486E-10</v>
      </c>
      <c r="AL34" s="47">
        <f t="shared" si="18"/>
        <v>3.2294495333889205E-9</v>
      </c>
      <c r="AM34" s="47">
        <f t="shared" si="18"/>
        <v>5.3552573250706854E-9</v>
      </c>
      <c r="AN34" s="47">
        <f t="shared" si="18"/>
        <v>3.0752228559116901E-10</v>
      </c>
      <c r="AO34" s="30">
        <f t="shared" si="23"/>
        <v>1396.0691926793622</v>
      </c>
      <c r="AP34" s="30">
        <f t="shared" si="23"/>
        <v>547368.45589952043</v>
      </c>
      <c r="AQ34" s="30">
        <f t="shared" si="25"/>
        <v>1392.5175615122037</v>
      </c>
      <c r="AR34" s="38">
        <f>IFERROR(s_RadSpec!$G$14*AR14,".")*$B$33</f>
        <v>3.5814843750000002E-8</v>
      </c>
      <c r="AS34" s="38">
        <f>IFERROR(s_RadSpec!$J$14*AS14,".")*$B$33</f>
        <v>9.1346148030821925E-11</v>
      </c>
      <c r="AT34" s="47">
        <f t="shared" si="26"/>
        <v>3.5814843750000002E-8</v>
      </c>
      <c r="AU34" s="47">
        <f t="shared" si="26"/>
        <v>9.1346148030821925E-11</v>
      </c>
      <c r="AV34" s="47">
        <f t="shared" si="27"/>
        <v>3.5906189898030824E-8</v>
      </c>
    </row>
    <row r="35" spans="1:48" x14ac:dyDescent="0.25">
      <c r="A35" s="29" t="s">
        <v>293</v>
      </c>
      <c r="B35" s="24">
        <v>1</v>
      </c>
      <c r="C35" s="2"/>
      <c r="D35" s="30">
        <f>IFERROR(D30/$B35,0)</f>
        <v>102229.88946393204</v>
      </c>
      <c r="E35" s="30">
        <f>IFERROR(E30/$B35,0)</f>
        <v>383.23268919965926</v>
      </c>
      <c r="F35" s="30">
        <f>IFERROR(F30/$B35,0)</f>
        <v>27375912.784794021</v>
      </c>
      <c r="G35" s="30">
        <f t="shared" ref="G35:G61" si="28">IF(AND(D35&lt;&gt;0,E35&lt;&gt;0,F35&lt;&gt;0),1/((1/D35)+(1/E35)+(1/F35)),IF(AND(D35&lt;&gt;0,E35&lt;&gt;0,F35=0), 1/((1/D35)+(1/E35)),IF(AND(D35&lt;&gt;0,E35=0,F35&lt;&gt;0),1/((1/D35)+(1/F35)),IF(AND(D35=0,E35&lt;&gt;0,F35&lt;&gt;0),1/((1/E35)+(1/F35)),IF(AND(D35&lt;&gt;0,E35=0,F35=0),1/((1/D35)),IF(AND(D35=0,E35&lt;&gt;0,F35=0),1/((1/E35)),IF(AND(D35=0,E35=0,F35&lt;&gt;0),1/((1/F35)),IF(AND(D35=0,E35=0,F35=0),0))))))))</f>
        <v>381.79609238153046</v>
      </c>
      <c r="H35" s="38">
        <f>IFERROR(s_RadSpec!$I$30*H30,".")*$B$35</f>
        <v>4.8909374999999997E-10</v>
      </c>
      <c r="I35" s="38">
        <f>IFERROR(s_RadSpec!$G$30*I30,".")*$B$35</f>
        <v>1.3046903724319473E-7</v>
      </c>
      <c r="J35" s="38">
        <f>IFERROR(s_RadSpec!$F$30*J30,".")*$B$35</f>
        <v>1.8264231184931509E-12</v>
      </c>
      <c r="K35" s="47">
        <f t="shared" si="15"/>
        <v>4.8909374999999997E-10</v>
      </c>
      <c r="L35" s="47">
        <f t="shared" si="15"/>
        <v>1.3046903724319473E-7</v>
      </c>
      <c r="M35" s="47">
        <f t="shared" si="15"/>
        <v>1.8264231184931509E-12</v>
      </c>
      <c r="N35" s="47">
        <f t="shared" si="20"/>
        <v>1.3095995741631321E-7</v>
      </c>
      <c r="O35" s="30">
        <f>IFERROR(O30/$B35,0)</f>
        <v>102229.88946393204</v>
      </c>
      <c r="P35" s="30">
        <f>IFERROR(P30/$B35,0)</f>
        <v>2410.3024263934449</v>
      </c>
      <c r="Q35" s="30">
        <f>IFERROR(Q30/$B35,0)</f>
        <v>27375912.784794021</v>
      </c>
      <c r="R35" s="30">
        <f t="shared" ref="R35:R44" si="29">IF(AND(O35&lt;&gt;0,P35&lt;&gt;0,Q35&lt;&gt;0),1/((1/O35)+(1/P35)+(1/Q35)),IF(AND(O35&lt;&gt;0,P35&lt;&gt;0,Q35=0), 1/((1/O35)+(1/P35)),IF(AND(O35&lt;&gt;0,P35=0,Q35&lt;&gt;0),1/((1/O35)+(1/Q35)),IF(AND(O35=0,P35&lt;&gt;0,Q35&lt;&gt;0),1/((1/P35)+(1/Q35)),IF(AND(O35&lt;&gt;0,P35=0,Q35=0),1/((1/O35)),IF(AND(O35=0,P35&lt;&gt;0,Q35=0),1/((1/P35)),IF(AND(O35=0,P35=0,Q35&lt;&gt;0),1/((1/Q35)),IF(AND(O35=0,P35=0,Q35=0),0))))))))</f>
        <v>2354.5805209239275</v>
      </c>
      <c r="S35" s="38">
        <f>IFERROR(s_RadSpec!$I$30*S30,".")*$B$35</f>
        <v>4.8909374999999997E-10</v>
      </c>
      <c r="T35" s="38">
        <f>IFERROR(s_RadSpec!$G$30*T30,".")*$B$35</f>
        <v>2.0744284805295334E-8</v>
      </c>
      <c r="U35" s="38">
        <f>IFERROR(s_RadSpec!$F$30*U30,".")*$B$35</f>
        <v>1.8264231184931509E-12</v>
      </c>
      <c r="V35" s="47">
        <f t="shared" si="16"/>
        <v>4.8909374999999997E-10</v>
      </c>
      <c r="W35" s="47">
        <f t="shared" si="16"/>
        <v>2.0744284805295334E-8</v>
      </c>
      <c r="X35" s="47">
        <f t="shared" si="16"/>
        <v>1.8264231184931509E-12</v>
      </c>
      <c r="Y35" s="47">
        <f t="shared" si="22"/>
        <v>2.1235204978413829E-8</v>
      </c>
      <c r="Z35" s="30">
        <f t="shared" ref="Z35:AP35" si="30">IFERROR(Z30/$B35,0)</f>
        <v>27375912.784794021</v>
      </c>
      <c r="AA35" s="30">
        <f t="shared" si="30"/>
        <v>459883298.33045858</v>
      </c>
      <c r="AB35" s="30">
        <f t="shared" si="30"/>
        <v>67880523.218700811</v>
      </c>
      <c r="AC35" s="30">
        <f t="shared" si="30"/>
        <v>37196002.852860518</v>
      </c>
      <c r="AD35" s="30">
        <f t="shared" si="30"/>
        <v>6538012112.1331606</v>
      </c>
      <c r="AE35" s="38">
        <f>IFERROR(s_RadSpec!$F$30*AE30,".")*$B$35</f>
        <v>1.8264231184931509E-12</v>
      </c>
      <c r="AF35" s="38">
        <f>IFERROR(s_RadSpec!$M$30*AF30,".")*$B$35</f>
        <v>1.0872323518057288E-13</v>
      </c>
      <c r="AG35" s="38">
        <f>IFERROR(s_RadSpec!$N$30*AG30,".")*$B$35</f>
        <v>7.365883117740202E-13</v>
      </c>
      <c r="AH35" s="38">
        <f>IFERROR(s_RadSpec!$O$30*AH30,".")*$B$35</f>
        <v>1.3442304593262181E-12</v>
      </c>
      <c r="AI35" s="38">
        <f>IFERROR(s_RadSpec!$K$30*AI30,".")*$B$35</f>
        <v>7.6475844863013707E-15</v>
      </c>
      <c r="AJ35" s="47">
        <f t="shared" si="24"/>
        <v>1.8264231184931509E-12</v>
      </c>
      <c r="AK35" s="47">
        <f t="shared" si="18"/>
        <v>1.0872323518057288E-13</v>
      </c>
      <c r="AL35" s="47">
        <f t="shared" si="18"/>
        <v>7.365883117740202E-13</v>
      </c>
      <c r="AM35" s="47">
        <f t="shared" si="18"/>
        <v>1.3442304593262181E-12</v>
      </c>
      <c r="AN35" s="47">
        <f t="shared" si="18"/>
        <v>7.6475844863013707E-15</v>
      </c>
      <c r="AO35" s="30">
        <f t="shared" si="30"/>
        <v>0.75369487134193036</v>
      </c>
      <c r="AP35" s="30">
        <f t="shared" si="30"/>
        <v>498289341.54738402</v>
      </c>
      <c r="AQ35" s="30">
        <f t="shared" si="25"/>
        <v>0.75369487020191805</v>
      </c>
      <c r="AR35" s="38">
        <f>IFERROR(s_RadSpec!$G$30*AR30,".")*$B$35</f>
        <v>6.6339843750000006E-5</v>
      </c>
      <c r="AS35" s="38">
        <f>IFERROR(s_RadSpec!$J$30*AS30,".")*$B$35</f>
        <v>1.0034330625000001E-13</v>
      </c>
      <c r="AT35" s="47">
        <f t="shared" si="26"/>
        <v>6.6339843750000006E-5</v>
      </c>
      <c r="AU35" s="47">
        <f t="shared" si="26"/>
        <v>1.0034330625000001E-13</v>
      </c>
      <c r="AV35" s="47">
        <f t="shared" si="27"/>
        <v>6.633984385034331E-5</v>
      </c>
    </row>
    <row r="36" spans="1:48" x14ac:dyDescent="0.25">
      <c r="A36" s="29" t="s">
        <v>294</v>
      </c>
      <c r="B36" s="24">
        <v>1</v>
      </c>
      <c r="C36" s="2"/>
      <c r="D36" s="30">
        <f>IFERROR(D26/$B36,0)</f>
        <v>27094.763936869203</v>
      </c>
      <c r="E36" s="30">
        <f>IFERROR(E26/$B36,0)</f>
        <v>62.112925262232899</v>
      </c>
      <c r="F36" s="30">
        <f>IFERROR(F26/$B36,0)</f>
        <v>91263.227107343424</v>
      </c>
      <c r="G36" s="30">
        <f t="shared" si="28"/>
        <v>61.928809442422597</v>
      </c>
      <c r="H36" s="38">
        <f>IFERROR(s_RadSpec!$I$26*H26,".")*$B$37</f>
        <v>1.8453749999999999E-9</v>
      </c>
      <c r="I36" s="38">
        <f>IFERROR(s_RadSpec!$G$26*I26,".")*$B$37</f>
        <v>8.0498543240245628E-7</v>
      </c>
      <c r="J36" s="38">
        <f>IFERROR(s_RadSpec!$F$26*J26,".")*$B$37</f>
        <v>5.4786578981247532E-10</v>
      </c>
      <c r="K36" s="47">
        <f t="shared" si="15"/>
        <v>1.8453749999999999E-9</v>
      </c>
      <c r="L36" s="47">
        <f t="shared" si="15"/>
        <v>8.0498543240245628E-7</v>
      </c>
      <c r="M36" s="47">
        <f t="shared" si="15"/>
        <v>5.4786578981247532E-10</v>
      </c>
      <c r="N36" s="47">
        <f t="shared" si="20"/>
        <v>8.0737867319226877E-7</v>
      </c>
      <c r="O36" s="30">
        <f>IFERROR(O26/$B36,0)</f>
        <v>27094.763936869203</v>
      </c>
      <c r="P36" s="30">
        <f>IFERROR(P26/$B36,0)</f>
        <v>390.65282970147996</v>
      </c>
      <c r="Q36" s="30">
        <f>IFERROR(Q26/$B36,0)</f>
        <v>91263.227107343424</v>
      </c>
      <c r="R36" s="30">
        <f t="shared" si="29"/>
        <v>383.48227648609299</v>
      </c>
      <c r="S36" s="38">
        <f>IFERROR(s_RadSpec!$I$26*S26,".")*$B$37</f>
        <v>1.8453749999999999E-9</v>
      </c>
      <c r="T36" s="38">
        <f>IFERROR(s_RadSpec!$G$26*T26,".")*$B$37</f>
        <v>1.2799088141306402E-7</v>
      </c>
      <c r="U36" s="38">
        <f>IFERROR(s_RadSpec!$F$26*U26,".")*$B$37</f>
        <v>5.4786578981247532E-10</v>
      </c>
      <c r="V36" s="47">
        <f t="shared" si="16"/>
        <v>1.8453749999999999E-9</v>
      </c>
      <c r="W36" s="47">
        <f t="shared" si="16"/>
        <v>1.2799088141306402E-7</v>
      </c>
      <c r="X36" s="47">
        <f t="shared" si="16"/>
        <v>5.4786578981247532E-10</v>
      </c>
      <c r="Y36" s="47">
        <f t="shared" si="22"/>
        <v>1.3038412220287652E-7</v>
      </c>
      <c r="Z36" s="30">
        <f t="shared" ref="Z36:AP36" si="31">IFERROR(Z26/$B36,0)</f>
        <v>91263.227107343424</v>
      </c>
      <c r="AA36" s="30">
        <f t="shared" si="31"/>
        <v>552345.0665992453</v>
      </c>
      <c r="AB36" s="30">
        <f t="shared" si="31"/>
        <v>158268.92997092081</v>
      </c>
      <c r="AC36" s="30">
        <f t="shared" si="31"/>
        <v>104099.8555318235</v>
      </c>
      <c r="AD36" s="30">
        <f t="shared" si="31"/>
        <v>3076988.950716726</v>
      </c>
      <c r="AE36" s="38">
        <f>IFERROR(s_RadSpec!$F$26*AE26,".")*$B$37</f>
        <v>5.4786578981247532E-10</v>
      </c>
      <c r="AF36" s="38">
        <f>IFERROR(s_RadSpec!$M$26*AF26,".")*$B$37</f>
        <v>9.0523122271819944E-11</v>
      </c>
      <c r="AG36" s="38">
        <f>IFERROR(s_RadSpec!$N$26*AG26,".")*$B$37</f>
        <v>3.1591797587300715E-10</v>
      </c>
      <c r="AH36" s="38">
        <f>IFERROR(s_RadSpec!$O$26*AH26,".")*$B$37</f>
        <v>4.8030806329711898E-10</v>
      </c>
      <c r="AI36" s="38">
        <f>IFERROR(s_RadSpec!$K$26*AI26,".")*$B$37</f>
        <v>1.6249652111475233E-11</v>
      </c>
      <c r="AJ36" s="47">
        <f t="shared" si="24"/>
        <v>5.4786578981247532E-10</v>
      </c>
      <c r="AK36" s="47">
        <f t="shared" si="18"/>
        <v>9.0523122271819944E-11</v>
      </c>
      <c r="AL36" s="47">
        <f t="shared" si="18"/>
        <v>3.1591797587300715E-10</v>
      </c>
      <c r="AM36" s="47">
        <f t="shared" si="18"/>
        <v>4.8030806329711898E-10</v>
      </c>
      <c r="AN36" s="47">
        <f t="shared" si="18"/>
        <v>1.6249652111475233E-11</v>
      </c>
      <c r="AO36" s="30">
        <f t="shared" si="31"/>
        <v>0.12215605435944421</v>
      </c>
      <c r="AP36" s="30">
        <f t="shared" si="31"/>
        <v>1556911.8337064174</v>
      </c>
      <c r="AQ36" s="30">
        <f t="shared" si="25"/>
        <v>0.12215604477502193</v>
      </c>
      <c r="AR36" s="38">
        <f>IFERROR(s_RadSpec!$G$26*AR26,".")*$B$37</f>
        <v>4.0931250000000001E-4</v>
      </c>
      <c r="AS36" s="38">
        <f>IFERROR(s_RadSpec!$J$26*AS26,".")*$B$37</f>
        <v>3.2114856421232884E-11</v>
      </c>
      <c r="AT36" s="47">
        <f t="shared" si="26"/>
        <v>4.0931250000000001E-4</v>
      </c>
      <c r="AU36" s="47">
        <f t="shared" si="26"/>
        <v>3.2114856421232884E-11</v>
      </c>
      <c r="AV36" s="47">
        <f t="shared" si="27"/>
        <v>4.0931253211485641E-4</v>
      </c>
    </row>
    <row r="37" spans="1:48" x14ac:dyDescent="0.25">
      <c r="A37" s="29" t="s">
        <v>295</v>
      </c>
      <c r="B37" s="24">
        <v>1</v>
      </c>
      <c r="C37" s="2"/>
      <c r="D37" s="30">
        <f>IFERROR(D22/$B37,0)</f>
        <v>71713.504549325444</v>
      </c>
      <c r="E37" s="30">
        <f>IFERROR(E22/$B37,0)</f>
        <v>414.67186313683072</v>
      </c>
      <c r="F37" s="30">
        <f>IFERROR(F22/$B37,0)</f>
        <v>1835526838426.085</v>
      </c>
      <c r="G37" s="30">
        <f t="shared" si="28"/>
        <v>412.28787439193871</v>
      </c>
      <c r="H37" s="38">
        <f>IFERROR(s_RadSpec!$I$22*H22,".")*$B$37</f>
        <v>6.9721875000000001E-10</v>
      </c>
      <c r="I37" s="38">
        <f>IFERROR(s_RadSpec!$G$22*I22,".")*$B$37</f>
        <v>1.2057726709926622E-7</v>
      </c>
      <c r="J37" s="38">
        <f>IFERROR(s_RadSpec!$F$22*J22,".")*$B$37</f>
        <v>2.7240135612984915E-17</v>
      </c>
      <c r="K37" s="47">
        <f t="shared" si="15"/>
        <v>6.9721875000000001E-10</v>
      </c>
      <c r="L37" s="47">
        <f t="shared" si="15"/>
        <v>1.2057726709926622E-7</v>
      </c>
      <c r="M37" s="47">
        <f t="shared" si="15"/>
        <v>2.7240135612984915E-17</v>
      </c>
      <c r="N37" s="47">
        <f t="shared" si="20"/>
        <v>1.2127448587650635E-7</v>
      </c>
      <c r="O37" s="30">
        <f>IFERROR(O22/$B37,0)</f>
        <v>71713.504549325444</v>
      </c>
      <c r="P37" s="30">
        <f>IFERROR(P22/$B37,0)</f>
        <v>2608.0358644851276</v>
      </c>
      <c r="Q37" s="30">
        <f>IFERROR(Q22/$B37,0)</f>
        <v>1835526838426.085</v>
      </c>
      <c r="R37" s="30">
        <f t="shared" si="29"/>
        <v>2516.5166186650054</v>
      </c>
      <c r="S37" s="38">
        <f>IFERROR(s_RadSpec!$I$22*S22,".")*$B$37</f>
        <v>6.9721875000000001E-10</v>
      </c>
      <c r="T37" s="38">
        <f>IFERROR(s_RadSpec!$G$22*T22,".")*$B$37</f>
        <v>1.9171515499795816E-8</v>
      </c>
      <c r="U37" s="38">
        <f>IFERROR(s_RadSpec!$F$22*U22,".")*$B$37</f>
        <v>2.7240135612984915E-17</v>
      </c>
      <c r="V37" s="47">
        <f t="shared" si="16"/>
        <v>6.9721875000000001E-10</v>
      </c>
      <c r="W37" s="47">
        <f t="shared" si="16"/>
        <v>1.9171515499795816E-8</v>
      </c>
      <c r="X37" s="47">
        <f t="shared" si="16"/>
        <v>2.7240135612984915E-17</v>
      </c>
      <c r="Y37" s="47">
        <f t="shared" si="22"/>
        <v>1.9868734277035951E-8</v>
      </c>
      <c r="Z37" s="30">
        <f t="shared" ref="Z37:AP37" si="32">IFERROR(Z22/$B37,0)</f>
        <v>1835526838426.085</v>
      </c>
      <c r="AA37" s="30">
        <f t="shared" si="32"/>
        <v>2310005505340.563</v>
      </c>
      <c r="AB37" s="30">
        <f t="shared" si="32"/>
        <v>1299628490336.1279</v>
      </c>
      <c r="AC37" s="30">
        <f t="shared" si="32"/>
        <v>1334100471995.0833</v>
      </c>
      <c r="AD37" s="30">
        <f t="shared" si="32"/>
        <v>6527666419220.9707</v>
      </c>
      <c r="AE37" s="38">
        <f>IFERROR(s_RadSpec!$F$22*AE22,".")*$B$37</f>
        <v>2.7240135612984915E-17</v>
      </c>
      <c r="AF37" s="38">
        <f>IFERROR(s_RadSpec!$M$22*AF22,".")*$B$37</f>
        <v>2.1644970059336953E-17</v>
      </c>
      <c r="AG37" s="38">
        <f>IFERROR(s_RadSpec!$N$22*AG22,".")*$B$37</f>
        <v>3.8472533013698634E-17</v>
      </c>
      <c r="AH37" s="38">
        <f>IFERROR(s_RadSpec!$O$22*AH22,".")*$B$37</f>
        <v>3.7478436631708424E-17</v>
      </c>
      <c r="AI37" s="38">
        <f>IFERROR(s_RadSpec!$K$22*AI22,".")*$B$37</f>
        <v>7.6597051363980611E-18</v>
      </c>
      <c r="AJ37" s="47">
        <f t="shared" si="24"/>
        <v>2.7240135612984915E-17</v>
      </c>
      <c r="AK37" s="47">
        <f t="shared" si="18"/>
        <v>2.1644970059336953E-17</v>
      </c>
      <c r="AL37" s="47">
        <f t="shared" si="18"/>
        <v>3.8472533013698634E-17</v>
      </c>
      <c r="AM37" s="47">
        <f t="shared" si="18"/>
        <v>3.7478436631708424E-17</v>
      </c>
      <c r="AN37" s="47">
        <f t="shared" si="18"/>
        <v>7.6597051363980611E-18</v>
      </c>
      <c r="AO37" s="30">
        <f t="shared" si="32"/>
        <v>0.81552556800081566</v>
      </c>
      <c r="AP37" s="30">
        <f t="shared" si="32"/>
        <v>25324451.978642363</v>
      </c>
      <c r="AQ37" s="30">
        <f t="shared" si="25"/>
        <v>0.81552554173837444</v>
      </c>
      <c r="AR37" s="38">
        <f>IFERROR(s_RadSpec!$G$22*AR22,".")*$B$37</f>
        <v>6.1310156249999993E-5</v>
      </c>
      <c r="AS37" s="38">
        <f>IFERROR(s_RadSpec!$J$22*AS22,".")*$B$37</f>
        <v>1.9743763869863017E-12</v>
      </c>
      <c r="AT37" s="47">
        <f t="shared" si="26"/>
        <v>6.1310156249999993E-5</v>
      </c>
      <c r="AU37" s="47">
        <f t="shared" si="26"/>
        <v>1.9743763869863017E-12</v>
      </c>
      <c r="AV37" s="47">
        <f t="shared" si="27"/>
        <v>6.1310158224376385E-5</v>
      </c>
    </row>
    <row r="38" spans="1:48" x14ac:dyDescent="0.25">
      <c r="A38" s="29" t="s">
        <v>296</v>
      </c>
      <c r="B38" s="24">
        <v>1</v>
      </c>
      <c r="C38" s="2"/>
      <c r="D38" s="30">
        <f>IFERROR(D2/$B38,0)</f>
        <v>59075.468911534495</v>
      </c>
      <c r="E38" s="30">
        <f>IFERROR(E2/$B38,0)</f>
        <v>379.75778139603534</v>
      </c>
      <c r="F38" s="30">
        <f>IFERROR(F2/$B38,0)</f>
        <v>300846.87312973652</v>
      </c>
      <c r="G38" s="30">
        <f t="shared" si="28"/>
        <v>376.85948856533116</v>
      </c>
      <c r="H38" s="38">
        <f>IFERROR(s_RadSpec!$I$2*H2,".")*$B$38</f>
        <v>8.4637499999999999E-10</v>
      </c>
      <c r="I38" s="38">
        <f>IFERROR(s_RadSpec!$G$2*I2,".")*$B$38</f>
        <v>1.3166287157091023E-7</v>
      </c>
      <c r="J38" s="38">
        <f>IFERROR(s_RadSpec!$F$2*J2,".")*$B$38</f>
        <v>1.6619750599315066E-10</v>
      </c>
      <c r="K38" s="47">
        <f t="shared" si="15"/>
        <v>8.4637499999999999E-10</v>
      </c>
      <c r="L38" s="47">
        <f t="shared" si="15"/>
        <v>1.3166287157091023E-7</v>
      </c>
      <c r="M38" s="47">
        <f t="shared" si="15"/>
        <v>1.6619750599315066E-10</v>
      </c>
      <c r="N38" s="47">
        <f t="shared" si="20"/>
        <v>1.3267544407690338E-7</v>
      </c>
      <c r="O38" s="30">
        <f>IFERROR(O2/$B38,0)</f>
        <v>59075.468911534495</v>
      </c>
      <c r="P38" s="30">
        <f>IFERROR(P2/$B38,0)</f>
        <v>2388.4473525789967</v>
      </c>
      <c r="Q38" s="30">
        <f>IFERROR(Q2/$B38,0)</f>
        <v>300846.87312973652</v>
      </c>
      <c r="R38" s="30">
        <f t="shared" si="29"/>
        <v>2278.2495117322642</v>
      </c>
      <c r="S38" s="38">
        <f>IFERROR(s_RadSpec!$I$2*S2,".")*$B$38</f>
        <v>8.4637499999999999E-10</v>
      </c>
      <c r="T38" s="38">
        <f>IFERROR(s_RadSpec!$G$2*T2,".")*$B$38</f>
        <v>2.0934101790441826E-8</v>
      </c>
      <c r="U38" s="38">
        <f>IFERROR(s_RadSpec!$F$2*U2,".")*$B$38</f>
        <v>1.6619750599315066E-10</v>
      </c>
      <c r="V38" s="47">
        <f t="shared" si="16"/>
        <v>8.4637499999999999E-10</v>
      </c>
      <c r="W38" s="47">
        <f t="shared" si="16"/>
        <v>2.0934101790441826E-8</v>
      </c>
      <c r="X38" s="47">
        <f t="shared" si="16"/>
        <v>1.6619750599315066E-10</v>
      </c>
      <c r="Y38" s="47">
        <f t="shared" si="22"/>
        <v>2.1946674296434976E-8</v>
      </c>
      <c r="Z38" s="30">
        <f t="shared" ref="Z38:AP38" si="33">IFERROR(Z2/$B38,0)</f>
        <v>300846.87312973652</v>
      </c>
      <c r="AA38" s="30">
        <f t="shared" si="33"/>
        <v>2171596.7516504908</v>
      </c>
      <c r="AB38" s="30">
        <f t="shared" si="33"/>
        <v>569689.22711884568</v>
      </c>
      <c r="AC38" s="30">
        <f t="shared" si="33"/>
        <v>352400.11990058812</v>
      </c>
      <c r="AD38" s="30">
        <f t="shared" si="33"/>
        <v>16497156.661023498</v>
      </c>
      <c r="AE38" s="38">
        <f>IFERROR(s_RadSpec!$F$2*AE2,".")*$B$38</f>
        <v>1.6619750599315066E-10</v>
      </c>
      <c r="AF38" s="38">
        <f>IFERROR(s_RadSpec!$M$2*AF2,".")*$B$38</f>
        <v>2.3024532506782504E-11</v>
      </c>
      <c r="AG38" s="38">
        <f>IFERROR(s_RadSpec!$N$2*AG2,".")*$B$38</f>
        <v>8.7767150263435241E-11</v>
      </c>
      <c r="AH38" s="38">
        <f>IFERROR(s_RadSpec!$O$2*AH2,".")*$B$38</f>
        <v>1.4188417419978459E-10</v>
      </c>
      <c r="AI38" s="38">
        <f>IFERROR(s_RadSpec!$K$2*AI2,".")*$B$38</f>
        <v>3.03082531295414E-12</v>
      </c>
      <c r="AJ38" s="47">
        <f t="shared" si="24"/>
        <v>1.6619750599315066E-10</v>
      </c>
      <c r="AK38" s="47">
        <f t="shared" si="18"/>
        <v>2.3024532506782504E-11</v>
      </c>
      <c r="AL38" s="47">
        <f t="shared" si="18"/>
        <v>8.7767150263435241E-11</v>
      </c>
      <c r="AM38" s="47">
        <f t="shared" si="18"/>
        <v>1.4188417419978459E-10</v>
      </c>
      <c r="AN38" s="47">
        <f t="shared" si="18"/>
        <v>3.03082531295414E-12</v>
      </c>
      <c r="AO38" s="30">
        <f t="shared" si="33"/>
        <v>0.7468608504877936</v>
      </c>
      <c r="AP38" s="30">
        <f t="shared" si="33"/>
        <v>9073159.665817447</v>
      </c>
      <c r="AQ38" s="30">
        <f t="shared" si="25"/>
        <v>0.74686078900964215</v>
      </c>
      <c r="AR38" s="38">
        <f>IFERROR(s_RadSpec!$G$2*AR2,".")*$B$38</f>
        <v>6.6946875000000006E-5</v>
      </c>
      <c r="AS38" s="38">
        <f>IFERROR(s_RadSpec!$J$2*AS2,".")*$B$38</f>
        <v>5.5107594092465758E-12</v>
      </c>
      <c r="AT38" s="47">
        <f t="shared" si="26"/>
        <v>6.6946875000000006E-5</v>
      </c>
      <c r="AU38" s="47">
        <f t="shared" si="26"/>
        <v>5.5107594092465758E-12</v>
      </c>
      <c r="AV38" s="47">
        <f t="shared" si="27"/>
        <v>6.6946880510759417E-5</v>
      </c>
    </row>
    <row r="39" spans="1:48" x14ac:dyDescent="0.25">
      <c r="A39" s="29" t="s">
        <v>297</v>
      </c>
      <c r="B39" s="24">
        <v>1</v>
      </c>
      <c r="C39" s="2"/>
      <c r="D39" s="30">
        <f>IFERROR(D11/$B39,0)</f>
        <v>0</v>
      </c>
      <c r="E39" s="30">
        <f>IFERROR(E11/$B39,0)</f>
        <v>0</v>
      </c>
      <c r="F39" s="30">
        <f>IFERROR(F11/$B39,0)</f>
        <v>104049.10487076499</v>
      </c>
      <c r="G39" s="30">
        <f t="shared" si="28"/>
        <v>104049.10487076499</v>
      </c>
      <c r="H39" s="38">
        <f>IFERROR(s_RadSpec!$I$11*H11,".")*$B$39</f>
        <v>0</v>
      </c>
      <c r="I39" s="38">
        <f>IFERROR(s_RadSpec!$G$11*I11,".")*$B$39</f>
        <v>0</v>
      </c>
      <c r="J39" s="38">
        <f>IFERROR(s_RadSpec!$F$11*J11,".")*$B$39</f>
        <v>4.8054233683319916E-10</v>
      </c>
      <c r="K39" s="47">
        <f t="shared" si="15"/>
        <v>0</v>
      </c>
      <c r="L39" s="47">
        <f t="shared" si="15"/>
        <v>0</v>
      </c>
      <c r="M39" s="47">
        <f t="shared" si="15"/>
        <v>4.8054233683319916E-10</v>
      </c>
      <c r="N39" s="47">
        <f t="shared" si="20"/>
        <v>4.8054233683319916E-10</v>
      </c>
      <c r="O39" s="30">
        <f>IFERROR(O11/$B39,0)</f>
        <v>0</v>
      </c>
      <c r="P39" s="30">
        <f>IFERROR(P11/$B39,0)</f>
        <v>0</v>
      </c>
      <c r="Q39" s="30">
        <f>IFERROR(Q11/$B39,0)</f>
        <v>104049.10487076499</v>
      </c>
      <c r="R39" s="30">
        <f t="shared" si="29"/>
        <v>104049.10487076499</v>
      </c>
      <c r="S39" s="38">
        <f>IFERROR(s_RadSpec!$I$11*S11,".")*$B$39</f>
        <v>0</v>
      </c>
      <c r="T39" s="38">
        <f>IFERROR(s_RadSpec!$G$11*T11,".")*$B$39</f>
        <v>0</v>
      </c>
      <c r="U39" s="38">
        <f>IFERROR(s_RadSpec!$F$11*U11,".")*$B$39</f>
        <v>4.8054233683319916E-10</v>
      </c>
      <c r="V39" s="47">
        <f t="shared" si="16"/>
        <v>0</v>
      </c>
      <c r="W39" s="47">
        <f t="shared" si="16"/>
        <v>0</v>
      </c>
      <c r="X39" s="47">
        <f t="shared" si="16"/>
        <v>4.8054233683319916E-10</v>
      </c>
      <c r="Y39" s="47">
        <f t="shared" si="22"/>
        <v>4.8054233683319916E-10</v>
      </c>
      <c r="Z39" s="30">
        <f t="shared" ref="Z39:AP39" si="34">IFERROR(Z11/$B39,0)</f>
        <v>104049.10487076499</v>
      </c>
      <c r="AA39" s="30">
        <f t="shared" si="34"/>
        <v>539359.22958334105</v>
      </c>
      <c r="AB39" s="30">
        <f t="shared" si="34"/>
        <v>151712.28645350097</v>
      </c>
      <c r="AC39" s="30">
        <f t="shared" si="34"/>
        <v>101042.98205467268</v>
      </c>
      <c r="AD39" s="30">
        <f t="shared" si="34"/>
        <v>1018958.3609072327</v>
      </c>
      <c r="AE39" s="38">
        <f>IFERROR(s_RadSpec!$F$11*AE11,".")*$B$39</f>
        <v>4.8054233683319916E-10</v>
      </c>
      <c r="AF39" s="38">
        <f>IFERROR(s_RadSpec!$M$11*AF11,".")*$B$39</f>
        <v>9.2702594592893852E-11</v>
      </c>
      <c r="AG39" s="38">
        <f>IFERROR(s_RadSpec!$N$11*AG11,".")*$B$39</f>
        <v>3.2957119801450457E-10</v>
      </c>
      <c r="AH39" s="38">
        <f>IFERROR(s_RadSpec!$O$11*AH11,".")*$B$39</f>
        <v>4.9483891887658116E-10</v>
      </c>
      <c r="AI39" s="38">
        <f>IFERROR(s_RadSpec!$K$11*AI11,".")*$B$39</f>
        <v>4.9069718565812985E-11</v>
      </c>
      <c r="AJ39" s="47">
        <f t="shared" si="24"/>
        <v>4.8054233683319916E-10</v>
      </c>
      <c r="AK39" s="47">
        <f t="shared" si="18"/>
        <v>9.2702594592893852E-11</v>
      </c>
      <c r="AL39" s="47">
        <f t="shared" si="18"/>
        <v>3.2957119801450457E-10</v>
      </c>
      <c r="AM39" s="47">
        <f t="shared" si="18"/>
        <v>4.9483891887658116E-10</v>
      </c>
      <c r="AN39" s="47">
        <f t="shared" si="18"/>
        <v>4.9069718565812985E-11</v>
      </c>
      <c r="AO39" s="30">
        <f t="shared" si="34"/>
        <v>0</v>
      </c>
      <c r="AP39" s="30">
        <f t="shared" si="34"/>
        <v>4053964.9570673699</v>
      </c>
      <c r="AQ39" s="30">
        <f t="shared" si="25"/>
        <v>4053964.9570673699</v>
      </c>
      <c r="AR39" s="38">
        <f>IFERROR(s_RadSpec!$G$11*AR11,".")*$B$39</f>
        <v>0</v>
      </c>
      <c r="AS39" s="38">
        <f>IFERROR(s_RadSpec!$J$11*AS11,".")*$B$39</f>
        <v>1.233360439212329E-11</v>
      </c>
      <c r="AT39" s="47">
        <f t="shared" si="26"/>
        <v>0</v>
      </c>
      <c r="AU39" s="47">
        <f t="shared" si="26"/>
        <v>1.233360439212329E-11</v>
      </c>
      <c r="AV39" s="47">
        <f t="shared" si="27"/>
        <v>1.233360439212329E-11</v>
      </c>
    </row>
    <row r="40" spans="1:48" x14ac:dyDescent="0.25">
      <c r="A40" s="29" t="s">
        <v>298</v>
      </c>
      <c r="B40" s="24">
        <v>1</v>
      </c>
      <c r="C40" s="2"/>
      <c r="D40" s="30">
        <f>IFERROR(D4/$B40,0)</f>
        <v>0</v>
      </c>
      <c r="E40" s="30">
        <f>IFERROR(E4/$B40,0)</f>
        <v>0</v>
      </c>
      <c r="F40" s="30">
        <f>IFERROR(F4/$B40,0)</f>
        <v>6467360.2771724528</v>
      </c>
      <c r="G40" s="30">
        <f t="shared" si="28"/>
        <v>6467360.2771724528</v>
      </c>
      <c r="H40" s="38">
        <f>IFERROR(s_RadSpec!$I$4*H4,".")*$B$40</f>
        <v>0</v>
      </c>
      <c r="I40" s="38">
        <f>IFERROR(s_RadSpec!$G$4*I4,".")*$B$40</f>
        <v>0</v>
      </c>
      <c r="J40" s="38">
        <f>IFERROR(s_RadSpec!$F$4*J4,".")*$B$40</f>
        <v>7.7311295269080235E-12</v>
      </c>
      <c r="K40" s="47">
        <f t="shared" si="15"/>
        <v>0</v>
      </c>
      <c r="L40" s="47">
        <f t="shared" si="15"/>
        <v>0</v>
      </c>
      <c r="M40" s="47">
        <f t="shared" si="15"/>
        <v>7.7311295269080235E-12</v>
      </c>
      <c r="N40" s="47">
        <f t="shared" si="20"/>
        <v>7.7311295269080235E-12</v>
      </c>
      <c r="O40" s="30">
        <f>IFERROR(O4/$B40,0)</f>
        <v>0</v>
      </c>
      <c r="P40" s="30">
        <f>IFERROR(P4/$B40,0)</f>
        <v>0</v>
      </c>
      <c r="Q40" s="30">
        <f>IFERROR(Q4/$B40,0)</f>
        <v>6467360.2771724528</v>
      </c>
      <c r="R40" s="30">
        <f t="shared" si="29"/>
        <v>6467360.2771724528</v>
      </c>
      <c r="S40" s="38">
        <f>IFERROR(s_RadSpec!$I$4*S4,".")*$B$40</f>
        <v>0</v>
      </c>
      <c r="T40" s="38">
        <f>IFERROR(s_RadSpec!$G$4*T4,".")*$B$40</f>
        <v>0</v>
      </c>
      <c r="U40" s="38">
        <f>IFERROR(s_RadSpec!$F$4*U4,".")*$B$40</f>
        <v>7.7311295269080235E-12</v>
      </c>
      <c r="V40" s="47">
        <f t="shared" si="16"/>
        <v>0</v>
      </c>
      <c r="W40" s="47">
        <f t="shared" si="16"/>
        <v>0</v>
      </c>
      <c r="X40" s="47">
        <f t="shared" si="16"/>
        <v>7.7311295269080235E-12</v>
      </c>
      <c r="Y40" s="47">
        <f t="shared" si="22"/>
        <v>7.7311295269080235E-12</v>
      </c>
      <c r="Z40" s="30">
        <f t="shared" ref="Z40:AP40" si="35">IFERROR(Z4/$B40,0)</f>
        <v>6467360.2771724528</v>
      </c>
      <c r="AA40" s="30">
        <f t="shared" si="35"/>
        <v>45604585.480438128</v>
      </c>
      <c r="AB40" s="30">
        <f t="shared" si="35"/>
        <v>11892342.004236773</v>
      </c>
      <c r="AC40" s="30">
        <f t="shared" si="35"/>
        <v>7048333.7996516516</v>
      </c>
      <c r="AD40" s="30">
        <f t="shared" si="35"/>
        <v>85886705.574485525</v>
      </c>
      <c r="AE40" s="38">
        <f>IFERROR(s_RadSpec!$F$4*AE4,".")*$B$40</f>
        <v>7.7311295269080235E-12</v>
      </c>
      <c r="AF40" s="38">
        <f>IFERROR(s_RadSpec!$M$4*AF4,".")*$B$40</f>
        <v>1.0963809773349937E-12</v>
      </c>
      <c r="AG40" s="38">
        <f>IFERROR(s_RadSpec!$N$4*AG4,".")*$B$40</f>
        <v>4.204386317025442E-12</v>
      </c>
      <c r="AH40" s="38">
        <f>IFERROR(s_RadSpec!$O$4*AH4,".")*$B$40</f>
        <v>7.0938751513827496E-12</v>
      </c>
      <c r="AI40" s="38">
        <f>IFERROR(s_RadSpec!$K$4*AI4,".")*$B$40</f>
        <v>5.8216227605374108E-13</v>
      </c>
      <c r="AJ40" s="47">
        <f t="shared" si="24"/>
        <v>7.7311295269080235E-12</v>
      </c>
      <c r="AK40" s="47">
        <f t="shared" si="18"/>
        <v>1.0963809773349937E-12</v>
      </c>
      <c r="AL40" s="47">
        <f t="shared" si="18"/>
        <v>4.204386317025442E-12</v>
      </c>
      <c r="AM40" s="47">
        <f t="shared" si="18"/>
        <v>7.0938751513827496E-12</v>
      </c>
      <c r="AN40" s="47">
        <f t="shared" si="18"/>
        <v>5.8216227605374108E-13</v>
      </c>
      <c r="AO40" s="30">
        <f t="shared" si="35"/>
        <v>0</v>
      </c>
      <c r="AP40" s="30">
        <f t="shared" si="35"/>
        <v>478620025.43367141</v>
      </c>
      <c r="AQ40" s="30">
        <f t="shared" si="25"/>
        <v>478620025.43367147</v>
      </c>
      <c r="AR40" s="38">
        <f>IFERROR(s_RadSpec!$G$4*AR4,".")*$B$40</f>
        <v>0</v>
      </c>
      <c r="AS40" s="38">
        <f>IFERROR(s_RadSpec!$J$4*AS4,".")*$B$40</f>
        <v>1.0446700376712331E-13</v>
      </c>
      <c r="AT40" s="47">
        <f t="shared" si="26"/>
        <v>0</v>
      </c>
      <c r="AU40" s="47">
        <f t="shared" si="26"/>
        <v>1.0446700376712331E-13</v>
      </c>
      <c r="AV40" s="47">
        <f t="shared" si="27"/>
        <v>1.0446700376712331E-13</v>
      </c>
    </row>
    <row r="41" spans="1:48" x14ac:dyDescent="0.25">
      <c r="A41" s="29" t="s">
        <v>299</v>
      </c>
      <c r="B41" s="31">
        <v>0.99987999999999999</v>
      </c>
      <c r="C41" s="111"/>
      <c r="D41" s="30">
        <f>IFERROR(D8/$B41,0)</f>
        <v>16821638.683473308</v>
      </c>
      <c r="E41" s="30">
        <f>IFERROR(E8/$B41,0)</f>
        <v>146604.0961104029</v>
      </c>
      <c r="F41" s="30">
        <f>IFERROR(F8/$B41,0)</f>
        <v>7131.9615431476004</v>
      </c>
      <c r="G41" s="30">
        <f t="shared" si="28"/>
        <v>6798.354461025735</v>
      </c>
      <c r="H41" s="38">
        <f>IFERROR(s_RadSpec!$I$8*H8,".")*$B$41</f>
        <v>2.9723620237500001E-12</v>
      </c>
      <c r="I41" s="38">
        <f>IFERROR(s_RadSpec!$G$8*I8,".")*$B$41</f>
        <v>3.410545907417661E-10</v>
      </c>
      <c r="J41" s="38">
        <f>IFERROR(s_RadSpec!$F$8*J8,".")*$B$41</f>
        <v>7.0106940001716755E-9</v>
      </c>
      <c r="K41" s="47">
        <f t="shared" si="15"/>
        <v>2.9723620237500001E-12</v>
      </c>
      <c r="L41" s="47">
        <f t="shared" si="15"/>
        <v>3.410545907417661E-10</v>
      </c>
      <c r="M41" s="47">
        <f t="shared" si="15"/>
        <v>7.0106940001716755E-9</v>
      </c>
      <c r="N41" s="47">
        <f t="shared" si="20"/>
        <v>7.3547209529371917E-9</v>
      </c>
      <c r="O41" s="30">
        <f>IFERROR(O8/$B41,0)</f>
        <v>16821638.683473308</v>
      </c>
      <c r="P41" s="30">
        <f>IFERROR(P8/$B41,0)</f>
        <v>922051.32425440312</v>
      </c>
      <c r="Q41" s="30">
        <f>IFERROR(Q8/$B41,0)</f>
        <v>7131.9615431476004</v>
      </c>
      <c r="R41" s="30">
        <f t="shared" si="29"/>
        <v>7074.2437710556296</v>
      </c>
      <c r="S41" s="38">
        <f>IFERROR(s_RadSpec!$I$8*S8,".")*$B$41</f>
        <v>2.9723620237500001E-12</v>
      </c>
      <c r="T41" s="38">
        <f>IFERROR(s_RadSpec!$G$8*T8,".")*$B$41</f>
        <v>5.4226916316650193E-11</v>
      </c>
      <c r="U41" s="38">
        <f>IFERROR(s_RadSpec!$F$8*U8,".")*$B$41</f>
        <v>7.0106940001716755E-9</v>
      </c>
      <c r="V41" s="47">
        <f t="shared" si="16"/>
        <v>2.9723620237500001E-12</v>
      </c>
      <c r="W41" s="47">
        <f t="shared" si="16"/>
        <v>5.4226916316650193E-11</v>
      </c>
      <c r="X41" s="47">
        <f t="shared" si="16"/>
        <v>7.0106940001716755E-9</v>
      </c>
      <c r="Y41" s="47">
        <f t="shared" si="22"/>
        <v>7.067893278512076E-9</v>
      </c>
      <c r="Z41" s="30">
        <f t="shared" ref="Z41:AP41" si="36">IFERROR(Z8/$B41,0)</f>
        <v>7131.9615431476004</v>
      </c>
      <c r="AA41" s="30">
        <f t="shared" si="36"/>
        <v>60395.290342474946</v>
      </c>
      <c r="AB41" s="30">
        <f t="shared" si="36"/>
        <v>15779.689253610633</v>
      </c>
      <c r="AC41" s="30">
        <f t="shared" si="36"/>
        <v>9563.4825108979003</v>
      </c>
      <c r="AD41" s="30">
        <f t="shared" si="36"/>
        <v>109515.36594652044</v>
      </c>
      <c r="AE41" s="38">
        <f>IFERROR(s_RadSpec!$F$8*AE8,".")*$B$41</f>
        <v>7.0106940001716755E-9</v>
      </c>
      <c r="AF41" s="38">
        <f>IFERROR(s_RadSpec!$M$8*AF8,".")*$B$41</f>
        <v>8.278791229659158E-10</v>
      </c>
      <c r="AG41" s="38">
        <f>IFERROR(s_RadSpec!$N$8*AG8,".")*$B$41</f>
        <v>3.1686302053482609E-9</v>
      </c>
      <c r="AH41" s="38">
        <f>IFERROR(s_RadSpec!$O$8*AH8,".")*$B$41</f>
        <v>5.2282209898981236E-9</v>
      </c>
      <c r="AI41" s="38">
        <f>IFERROR(s_RadSpec!$K$8*AI8,".")*$B$41</f>
        <v>4.5655693671714043E-10</v>
      </c>
      <c r="AJ41" s="47">
        <f t="shared" si="24"/>
        <v>7.0106940001716755E-9</v>
      </c>
      <c r="AK41" s="47">
        <f t="shared" si="18"/>
        <v>8.278791229659158E-10</v>
      </c>
      <c r="AL41" s="47">
        <f t="shared" si="18"/>
        <v>3.1686302053482609E-9</v>
      </c>
      <c r="AM41" s="47">
        <f t="shared" si="18"/>
        <v>5.2282209898981236E-9</v>
      </c>
      <c r="AN41" s="47">
        <f t="shared" si="18"/>
        <v>4.5655693671714043E-10</v>
      </c>
      <c r="AO41" s="30">
        <f t="shared" si="36"/>
        <v>288.32288703473245</v>
      </c>
      <c r="AP41" s="30">
        <f t="shared" si="36"/>
        <v>877575.35567107843</v>
      </c>
      <c r="AQ41" s="30">
        <f t="shared" si="25"/>
        <v>288.22819113920963</v>
      </c>
      <c r="AR41" s="38">
        <f>IFERROR(s_RadSpec!$G$8*AR8,".")*$B$41</f>
        <v>1.734166875E-7</v>
      </c>
      <c r="AS41" s="38">
        <f>IFERROR(s_RadSpec!$J$8*AS8,".")*$B$41</f>
        <v>5.6975164214547949E-11</v>
      </c>
      <c r="AT41" s="47">
        <f t="shared" si="26"/>
        <v>1.734166875E-7</v>
      </c>
      <c r="AU41" s="47">
        <f t="shared" si="26"/>
        <v>5.6975164214547949E-11</v>
      </c>
      <c r="AV41" s="47">
        <f t="shared" si="27"/>
        <v>1.7347366266421454E-7</v>
      </c>
    </row>
    <row r="42" spans="1:48" x14ac:dyDescent="0.25">
      <c r="A42" s="29" t="s">
        <v>300</v>
      </c>
      <c r="B42" s="24">
        <v>0.97898250799999997</v>
      </c>
      <c r="C42" s="2"/>
      <c r="D42" s="30">
        <f>IFERROR(D19/$B42,0)</f>
        <v>0</v>
      </c>
      <c r="E42" s="30">
        <f>IFERROR(E19/$B42,0)</f>
        <v>0</v>
      </c>
      <c r="F42" s="30">
        <f>IFERROR(F19/$B42,0)</f>
        <v>15843157.946421916</v>
      </c>
      <c r="G42" s="30">
        <f t="shared" si="28"/>
        <v>15843157.946421918</v>
      </c>
      <c r="H42" s="48">
        <f>IFERROR(s_RadSpec!$I$19*H19,".")*$B$42</f>
        <v>0</v>
      </c>
      <c r="I42" s="48">
        <f>IFERROR(s_RadSpec!$G$19*I19,".")*$B$42</f>
        <v>0</v>
      </c>
      <c r="J42" s="48">
        <f>IFERROR(s_RadSpec!$F$19*J19,".")*$B$42</f>
        <v>3.1559364723301408E-12</v>
      </c>
      <c r="K42" s="47">
        <f t="shared" si="15"/>
        <v>0</v>
      </c>
      <c r="L42" s="47">
        <f t="shared" si="15"/>
        <v>0</v>
      </c>
      <c r="M42" s="47">
        <f t="shared" si="15"/>
        <v>3.1559364723301408E-12</v>
      </c>
      <c r="N42" s="47">
        <f t="shared" si="20"/>
        <v>3.1559364723301408E-12</v>
      </c>
      <c r="O42" s="30">
        <f>IFERROR(O19/$B42,0)</f>
        <v>0</v>
      </c>
      <c r="P42" s="30">
        <f>IFERROR(P19/$B42,0)</f>
        <v>0</v>
      </c>
      <c r="Q42" s="30">
        <f>IFERROR(Q19/$B42,0)</f>
        <v>15843157.946421916</v>
      </c>
      <c r="R42" s="30">
        <f t="shared" si="29"/>
        <v>15843157.946421918</v>
      </c>
      <c r="S42" s="48">
        <f>IFERROR(s_RadSpec!$I$19*S19,".")*$B$42</f>
        <v>0</v>
      </c>
      <c r="T42" s="48">
        <f>IFERROR(s_RadSpec!$G$19*T19,".")*$B$42</f>
        <v>0</v>
      </c>
      <c r="U42" s="48">
        <f>IFERROR(s_RadSpec!$F$19*U19,".")*$B$42</f>
        <v>3.1559364723301408E-12</v>
      </c>
      <c r="V42" s="47">
        <f t="shared" si="16"/>
        <v>0</v>
      </c>
      <c r="W42" s="47">
        <f t="shared" si="16"/>
        <v>0</v>
      </c>
      <c r="X42" s="47">
        <f t="shared" si="16"/>
        <v>3.1559364723301408E-12</v>
      </c>
      <c r="Y42" s="47">
        <f t="shared" si="22"/>
        <v>3.1559364723301408E-12</v>
      </c>
      <c r="Z42" s="30">
        <f t="shared" ref="Z42:AP42" si="37">IFERROR(Z19/$B42,0)</f>
        <v>15843157.946421916</v>
      </c>
      <c r="AA42" s="30">
        <f t="shared" si="37"/>
        <v>157116881.52500641</v>
      </c>
      <c r="AB42" s="30">
        <f t="shared" si="37"/>
        <v>38673628.286705486</v>
      </c>
      <c r="AC42" s="30">
        <f t="shared" si="37"/>
        <v>20711986.714185171</v>
      </c>
      <c r="AD42" s="30">
        <f t="shared" si="37"/>
        <v>278075137.98061633</v>
      </c>
      <c r="AE42" s="48">
        <f>IFERROR(s_RadSpec!$F$19*AE19,".")*$B$42</f>
        <v>3.1559364723301408E-12</v>
      </c>
      <c r="AF42" s="48">
        <f>IFERROR(s_RadSpec!$M$19*AF19,".")*$B$42</f>
        <v>3.1823442213650421E-13</v>
      </c>
      <c r="AG42" s="48">
        <f>IFERROR(s_RadSpec!$N$19*AG19,".")*$B$42</f>
        <v>1.2928706773858121E-12</v>
      </c>
      <c r="AH42" s="48">
        <f>IFERROR(s_RadSpec!$O$19*AH19,".")*$B$42</f>
        <v>2.4140610309370348E-12</v>
      </c>
      <c r="AI42" s="48">
        <f>IFERROR(s_RadSpec!$K$19*AI19,".")*$B$42</f>
        <v>1.7980751664136667E-13</v>
      </c>
      <c r="AJ42" s="47">
        <f t="shared" si="24"/>
        <v>3.1559364723301408E-12</v>
      </c>
      <c r="AK42" s="47">
        <f t="shared" si="18"/>
        <v>3.1823442213650421E-13</v>
      </c>
      <c r="AL42" s="47">
        <f t="shared" si="18"/>
        <v>1.2928706773858121E-12</v>
      </c>
      <c r="AM42" s="47">
        <f t="shared" si="18"/>
        <v>2.4140610309370348E-12</v>
      </c>
      <c r="AN42" s="47">
        <f t="shared" si="18"/>
        <v>1.7980751664136667E-13</v>
      </c>
      <c r="AO42" s="30">
        <f t="shared" si="37"/>
        <v>0</v>
      </c>
      <c r="AP42" s="30">
        <f t="shared" si="37"/>
        <v>2961714042.2216477</v>
      </c>
      <c r="AQ42" s="30">
        <f t="shared" si="25"/>
        <v>2961714042.2216477</v>
      </c>
      <c r="AR42" s="48">
        <f>IFERROR(s_RadSpec!$G$19*AR19,".")*$B$42</f>
        <v>0</v>
      </c>
      <c r="AS42" s="48">
        <f>IFERROR(s_RadSpec!$J$19*AS19,".")*$B$42</f>
        <v>1.6882115993377232E-14</v>
      </c>
      <c r="AT42" s="47">
        <f t="shared" si="26"/>
        <v>0</v>
      </c>
      <c r="AU42" s="47">
        <f t="shared" si="26"/>
        <v>1.6882115993377232E-14</v>
      </c>
      <c r="AV42" s="47">
        <f t="shared" si="27"/>
        <v>1.6882115993377232E-14</v>
      </c>
    </row>
    <row r="43" spans="1:48" x14ac:dyDescent="0.25">
      <c r="A43" s="29" t="s">
        <v>301</v>
      </c>
      <c r="B43" s="24">
        <v>2.0897492E-2</v>
      </c>
      <c r="C43" s="2"/>
      <c r="D43" s="30">
        <f>IFERROR(D28/$B43,0)</f>
        <v>0</v>
      </c>
      <c r="E43" s="30">
        <f>IFERROR(E28/$B43,0)</f>
        <v>0</v>
      </c>
      <c r="F43" s="30">
        <f>IFERROR(F28/$B43,0)</f>
        <v>8843.5464148174906</v>
      </c>
      <c r="G43" s="30">
        <f t="shared" si="28"/>
        <v>8843.5464148174906</v>
      </c>
      <c r="H43" s="48">
        <f>IFERROR(s_RadSpec!$I$28*H28,".")*$B$43</f>
        <v>0</v>
      </c>
      <c r="I43" s="48">
        <f>IFERROR(s_RadSpec!$G$28*I28,".")*$B$43</f>
        <v>0</v>
      </c>
      <c r="J43" s="48">
        <f>IFERROR(s_RadSpec!$F$28*J28,".")*$B$43</f>
        <v>5.6538404000712063E-9</v>
      </c>
      <c r="K43" s="47">
        <f t="shared" si="15"/>
        <v>0</v>
      </c>
      <c r="L43" s="47">
        <f t="shared" si="15"/>
        <v>0</v>
      </c>
      <c r="M43" s="47">
        <f t="shared" si="15"/>
        <v>5.6538404000712063E-9</v>
      </c>
      <c r="N43" s="47">
        <f t="shared" si="20"/>
        <v>5.6538404000712063E-9</v>
      </c>
      <c r="O43" s="30">
        <f>IFERROR(O28/$B43,0)</f>
        <v>0</v>
      </c>
      <c r="P43" s="30">
        <f>IFERROR(P28/$B43,0)</f>
        <v>0</v>
      </c>
      <c r="Q43" s="30">
        <f>IFERROR(Q28/$B43,0)</f>
        <v>8843.5464148174906</v>
      </c>
      <c r="R43" s="30">
        <f t="shared" si="29"/>
        <v>8843.5464148174906</v>
      </c>
      <c r="S43" s="48">
        <f>IFERROR(s_RadSpec!$I$28*S28,".")*$B$43</f>
        <v>0</v>
      </c>
      <c r="T43" s="48">
        <f>IFERROR(s_RadSpec!$G$28*T28,".")*$B$43</f>
        <v>0</v>
      </c>
      <c r="U43" s="48">
        <f>IFERROR(s_RadSpec!$F$28*U28,".")*$B$43</f>
        <v>5.6538404000712063E-9</v>
      </c>
      <c r="V43" s="47">
        <f t="shared" si="16"/>
        <v>0</v>
      </c>
      <c r="W43" s="47">
        <f t="shared" si="16"/>
        <v>0</v>
      </c>
      <c r="X43" s="47">
        <f t="shared" si="16"/>
        <v>5.6538404000712063E-9</v>
      </c>
      <c r="Y43" s="47">
        <f t="shared" si="22"/>
        <v>5.6538404000712063E-9</v>
      </c>
      <c r="Z43" s="30">
        <f t="shared" ref="Z43:AP43" si="38">IFERROR(Z28/$B43,0)</f>
        <v>8843.5464148174906</v>
      </c>
      <c r="AA43" s="30">
        <f t="shared" si="38"/>
        <v>106815.97831788838</v>
      </c>
      <c r="AB43" s="30">
        <f t="shared" si="38"/>
        <v>25817.185375236706</v>
      </c>
      <c r="AC43" s="30">
        <f t="shared" si="38"/>
        <v>14046.776201495582</v>
      </c>
      <c r="AD43" s="30">
        <f t="shared" si="38"/>
        <v>192738.92208010113</v>
      </c>
      <c r="AE43" s="48">
        <f>IFERROR(s_RadSpec!$F$28*AE28,".")*$B$43</f>
        <v>5.6538404000712063E-9</v>
      </c>
      <c r="AF43" s="48">
        <f>IFERROR(s_RadSpec!$M$28*AF28,".")*$B$43</f>
        <v>4.680947624820523E-10</v>
      </c>
      <c r="AG43" s="48">
        <f>IFERROR(s_RadSpec!$N$28*AG28,".")*$B$43</f>
        <v>1.9366944642989216E-9</v>
      </c>
      <c r="AH43" s="48">
        <f>IFERROR(s_RadSpec!$O$28*AH28,".")*$B$43</f>
        <v>3.5595356032422888E-9</v>
      </c>
      <c r="AI43" s="48">
        <f>IFERROR(s_RadSpec!$K$28*AI28,".")*$B$43</f>
        <v>2.5941828178960304E-10</v>
      </c>
      <c r="AJ43" s="47">
        <f t="shared" si="24"/>
        <v>5.6538404000712063E-9</v>
      </c>
      <c r="AK43" s="47">
        <f t="shared" si="18"/>
        <v>4.680947624820523E-10</v>
      </c>
      <c r="AL43" s="47">
        <f t="shared" si="18"/>
        <v>1.9366944642989216E-9</v>
      </c>
      <c r="AM43" s="47">
        <f t="shared" si="18"/>
        <v>3.5595356032422888E-9</v>
      </c>
      <c r="AN43" s="47">
        <f t="shared" si="18"/>
        <v>2.5941828178960304E-10</v>
      </c>
      <c r="AO43" s="30">
        <f t="shared" si="38"/>
        <v>0</v>
      </c>
      <c r="AP43" s="30">
        <f t="shared" si="38"/>
        <v>2335012.0328277028</v>
      </c>
      <c r="AQ43" s="30">
        <f t="shared" si="25"/>
        <v>2335012.0328277028</v>
      </c>
      <c r="AR43" s="48">
        <f>IFERROR(s_RadSpec!$G$28*AR28,".")*$B$43</f>
        <v>0</v>
      </c>
      <c r="AS43" s="48">
        <f>IFERROR(s_RadSpec!$J$28*AS28,".")*$B$43</f>
        <v>2.1413165883967604E-11</v>
      </c>
      <c r="AT43" s="47">
        <f t="shared" si="26"/>
        <v>0</v>
      </c>
      <c r="AU43" s="47">
        <f t="shared" si="26"/>
        <v>2.1413165883967604E-11</v>
      </c>
      <c r="AV43" s="47">
        <f t="shared" si="27"/>
        <v>2.1413165883967604E-11</v>
      </c>
    </row>
    <row r="44" spans="1:48" x14ac:dyDescent="0.25">
      <c r="A44" s="29" t="s">
        <v>302</v>
      </c>
      <c r="B44" s="24">
        <v>0.99987999999999999</v>
      </c>
      <c r="C44" s="2"/>
      <c r="D44" s="30">
        <f>IFERROR(D15/$B44,0)</f>
        <v>43685285.914353408</v>
      </c>
      <c r="E44" s="30">
        <f>IFERROR(E15/$B44,0)</f>
        <v>52172276.195872918</v>
      </c>
      <c r="F44" s="30">
        <f>IFERROR(F15/$B44,0)</f>
        <v>0</v>
      </c>
      <c r="G44" s="30">
        <f t="shared" si="28"/>
        <v>23776536.271583062</v>
      </c>
      <c r="H44" s="38">
        <f>IFERROR(s_RadSpec!$I$15*H15,".")*$B$44</f>
        <v>1.1445501375000001E-12</v>
      </c>
      <c r="I44" s="38">
        <f>IFERROR(s_RadSpec!$G$15*I15,".")*$B$44</f>
        <v>9.5836339998436264E-13</v>
      </c>
      <c r="J44" s="38">
        <f>IFERROR(s_RadSpec!$F$15*J15,".")*$B$44</f>
        <v>0</v>
      </c>
      <c r="K44" s="47">
        <f t="shared" si="15"/>
        <v>1.1445501375000001E-12</v>
      </c>
      <c r="L44" s="47">
        <f t="shared" si="15"/>
        <v>9.5836339998436264E-13</v>
      </c>
      <c r="M44" s="47">
        <f t="shared" si="15"/>
        <v>0</v>
      </c>
      <c r="N44" s="47">
        <f t="shared" si="20"/>
        <v>2.1029135374843627E-12</v>
      </c>
      <c r="O44" s="30">
        <f>IFERROR(O15/$B44,0)</f>
        <v>43685285.914353408</v>
      </c>
      <c r="P44" s="30">
        <f>IFERROR(P15/$B44,0)</f>
        <v>328132143.86277694</v>
      </c>
      <c r="Q44" s="30">
        <f>IFERROR(Q15/$B44,0)</f>
        <v>0</v>
      </c>
      <c r="R44" s="30">
        <f t="shared" si="29"/>
        <v>38552648.085721456</v>
      </c>
      <c r="S44" s="38">
        <f>IFERROR(s_RadSpec!$I$15*S15,".")*$B$44</f>
        <v>1.1445501375000001E-12</v>
      </c>
      <c r="T44" s="38">
        <f>IFERROR(s_RadSpec!$G$15*T15,".")*$B$44</f>
        <v>1.5237763484978703E-13</v>
      </c>
      <c r="U44" s="38">
        <f>IFERROR(s_RadSpec!$F$15*U15,".")*$B$44</f>
        <v>0</v>
      </c>
      <c r="V44" s="47">
        <f t="shared" si="16"/>
        <v>1.1445501375000001E-12</v>
      </c>
      <c r="W44" s="47">
        <f t="shared" si="16"/>
        <v>1.5237763484978703E-13</v>
      </c>
      <c r="X44" s="47">
        <f t="shared" si="16"/>
        <v>0</v>
      </c>
      <c r="Y44" s="47">
        <f t="shared" si="22"/>
        <v>1.2969277723497872E-12</v>
      </c>
      <c r="Z44" s="30">
        <f t="shared" ref="Z44:AP44" si="39">IFERROR(Z15/$B44,0)</f>
        <v>0</v>
      </c>
      <c r="AA44" s="30">
        <f t="shared" si="39"/>
        <v>0</v>
      </c>
      <c r="AB44" s="30">
        <f t="shared" si="39"/>
        <v>0</v>
      </c>
      <c r="AC44" s="30">
        <f t="shared" si="39"/>
        <v>0</v>
      </c>
      <c r="AD44" s="30">
        <f t="shared" si="39"/>
        <v>0</v>
      </c>
      <c r="AE44" s="38">
        <f>IFERROR(s_RadSpec!$F$15*AE15,".")*$B$44</f>
        <v>0</v>
      </c>
      <c r="AF44" s="38">
        <f>IFERROR(s_RadSpec!$M$15*AF15,".")*$B$44</f>
        <v>0</v>
      </c>
      <c r="AG44" s="38">
        <f>IFERROR(s_RadSpec!$N$15*AG15,".")*$B$44</f>
        <v>0</v>
      </c>
      <c r="AH44" s="38">
        <f>IFERROR(s_RadSpec!$O$15*AH15,".")*$B$44</f>
        <v>0</v>
      </c>
      <c r="AI44" s="38">
        <f>IFERROR(s_RadSpec!$K$15*AI15,".")*$B$44</f>
        <v>0</v>
      </c>
      <c r="AJ44" s="47">
        <f t="shared" si="24"/>
        <v>0</v>
      </c>
      <c r="AK44" s="47">
        <f t="shared" si="18"/>
        <v>0</v>
      </c>
      <c r="AL44" s="47">
        <f t="shared" si="18"/>
        <v>0</v>
      </c>
      <c r="AM44" s="47">
        <f t="shared" si="18"/>
        <v>0</v>
      </c>
      <c r="AN44" s="47">
        <f t="shared" si="18"/>
        <v>0</v>
      </c>
      <c r="AO44" s="30">
        <f t="shared" si="39"/>
        <v>102606.00962090123</v>
      </c>
      <c r="AP44" s="30">
        <f t="shared" si="39"/>
        <v>274092028.89452857</v>
      </c>
      <c r="AQ44" s="30">
        <f t="shared" si="25"/>
        <v>102567.61356251735</v>
      </c>
      <c r="AR44" s="38">
        <f>IFERROR(s_RadSpec!$G$15*AR15,".")*$B$44</f>
        <v>4.8730089187499997E-10</v>
      </c>
      <c r="AS44" s="38">
        <f>IFERROR(s_RadSpec!$J$15*AS15,".")*$B$44</f>
        <v>1.8242048191500004E-13</v>
      </c>
      <c r="AT44" s="47">
        <f t="shared" si="26"/>
        <v>4.8730089187499997E-10</v>
      </c>
      <c r="AU44" s="47">
        <f t="shared" si="26"/>
        <v>1.8242048191500004E-13</v>
      </c>
      <c r="AV44" s="47">
        <f t="shared" si="27"/>
        <v>4.87483312356915E-10</v>
      </c>
    </row>
    <row r="45" spans="1:48" x14ac:dyDescent="0.25">
      <c r="A45" s="26" t="s">
        <v>20</v>
      </c>
      <c r="B45" s="26" t="s">
        <v>289</v>
      </c>
      <c r="C45" s="110"/>
      <c r="D45" s="27">
        <f>IFERROR(IF(AND(D46&lt;&gt;0,D47&lt;&gt;0),1/SUM(1/D46,1/D47),IF(AND(D46&lt;&gt;0,D47=0),1/(1/D46),IF(AND(D46=0,D47&lt;&gt;0),1/(1/D47),IF(AND(D46=0,D47=0),".")))),".")</f>
        <v>167804.59155313639</v>
      </c>
      <c r="E45" s="27">
        <f t="shared" ref="E45:G45" si="40">IFERROR(IF(AND(E46&lt;&gt;0,E47&lt;&gt;0),1/SUM(1/E46,1/E47),IF(AND(E46&lt;&gt;0,E47=0),1/(1/E46),IF(AND(E46=0,E47&lt;&gt;0),1/(1/E47),IF(AND(E46=0,E47=0),".")))),".")</f>
        <v>96438.489222940567</v>
      </c>
      <c r="F45" s="27">
        <f t="shared" si="40"/>
        <v>1227.6202014863031</v>
      </c>
      <c r="G45" s="28">
        <f t="shared" si="40"/>
        <v>1203.4957213759924</v>
      </c>
      <c r="H45" s="45"/>
      <c r="I45" s="45"/>
      <c r="J45" s="45"/>
      <c r="K45" s="46">
        <f>IFERROR(IF(SUM(H46:H47)&gt;0.01,1-EXP(-SUM(H46:H47)),SUM(H46:H47)),".")</f>
        <v>2.9796562500000001E-10</v>
      </c>
      <c r="L45" s="46">
        <f>IFERROR(IF(SUM(I46:I47)&gt;0.01,1-EXP(-SUM(I46:I47)),SUM(I46:I47)),".")</f>
        <v>5.1846519375073452E-10</v>
      </c>
      <c r="M45" s="46">
        <f>IFERROR(IF(SUM(J46:J47)&gt;0.01,1-EXP(-SUM(J46:J47)),SUM(J46:J47)),".")</f>
        <v>4.0729209196349223E-8</v>
      </c>
      <c r="N45" s="46">
        <f>IFERROR(IF(SUM(H46:J47)&gt;0.01,1-EXP(-SUM(H46:J47)),SUM(H46:J47)),".")</f>
        <v>4.1545640015099955E-8</v>
      </c>
      <c r="O45" s="27">
        <f>IFERROR(IF(AND(O46&lt;&gt;0,O47&lt;&gt;0),1/SUM(1/O46,1/O47),IF(AND(O46&lt;&gt;0,O47=0),1/(1/O46),IF(AND(O46=0,O47&lt;&gt;0),1/(1/O47),IF(AND(O46=0,O47=0),".")))),".")</f>
        <v>167804.59155313639</v>
      </c>
      <c r="P45" s="27">
        <f t="shared" ref="P45:R45" si="41">IFERROR(IF(AND(P46&lt;&gt;0,P47&lt;&gt;0),1/SUM(1/P46,1/P47),IF(AND(P46&lt;&gt;0,P47=0),1/(1/P46),IF(AND(P46=0,P47&lt;&gt;0),1/(1/P47),IF(AND(P46=0,P47=0),".")))),".")</f>
        <v>606539.91979966615</v>
      </c>
      <c r="Q45" s="27">
        <f t="shared" si="41"/>
        <v>1227.6202014863031</v>
      </c>
      <c r="R45" s="28">
        <f t="shared" si="41"/>
        <v>1216.2606372204366</v>
      </c>
      <c r="S45" s="45"/>
      <c r="T45" s="45"/>
      <c r="U45" s="45"/>
      <c r="V45" s="46">
        <f>IFERROR(IF(SUM(S46:S47)&gt;0.01,1-EXP(-SUM(S46:S47)),SUM(S46:S47)),".")</f>
        <v>2.9796562500000001E-10</v>
      </c>
      <c r="W45" s="46">
        <f>IFERROR(IF(SUM(T46:T47)&gt;0.01,1-EXP(-SUM(T46:T47)),SUM(T46:T47)),".")</f>
        <v>8.2434804977905639E-11</v>
      </c>
      <c r="X45" s="46">
        <f>IFERROR(IF(SUM(U46:U47)&gt;0.01,1-EXP(-SUM(U46:U47)),SUM(U46:U47)),".")</f>
        <v>4.0729209196349223E-8</v>
      </c>
      <c r="Y45" s="46">
        <f>IFERROR(IF(SUM(S46:U47)&gt;0.01,1-EXP(-SUM(S46:U47)),SUM(S46:U47)),".")</f>
        <v>4.1109609626327124E-8</v>
      </c>
      <c r="Z45" s="27">
        <f t="shared" ref="Z45:AQ45" si="42">IFERROR(IF(AND(Z46&lt;&gt;0,Z47&lt;&gt;0),1/SUM(1/Z46,1/Z47),IF(AND(Z46&lt;&gt;0,Z47=0),1/(1/Z46),IF(AND(Z46=0,Z47&lt;&gt;0),1/(1/Z47),IF(AND(Z46=0,Z47=0),".")))),".")</f>
        <v>1227.6202014863031</v>
      </c>
      <c r="AA45" s="27">
        <f t="shared" si="42"/>
        <v>11241.528598546338</v>
      </c>
      <c r="AB45" s="27">
        <f t="shared" si="42"/>
        <v>2817.2833008437224</v>
      </c>
      <c r="AC45" s="27">
        <f t="shared" si="42"/>
        <v>1502.5418475210536</v>
      </c>
      <c r="AD45" s="27">
        <f t="shared" si="42"/>
        <v>19271.984750294447</v>
      </c>
      <c r="AE45" s="45"/>
      <c r="AF45" s="45"/>
      <c r="AG45" s="45"/>
      <c r="AH45" s="45"/>
      <c r="AI45" s="45"/>
      <c r="AJ45" s="46">
        <f>IFERROR(IF(SUM(AE46:AE47)&gt;0.01,1-EXP(-SUM(AE46:AE47)),SUM(AE46:AE47)),".")</f>
        <v>4.0729209196349223E-8</v>
      </c>
      <c r="AK45" s="46">
        <f t="shared" ref="AK45:AN45" si="43">IFERROR(IF(SUM(AF46:AF47)&gt;0.01,1-EXP(-SUM(AF46:AF47)),SUM(AF46:AF47)),".")</f>
        <v>4.4477936929738898E-9</v>
      </c>
      <c r="AL45" s="46">
        <f t="shared" si="43"/>
        <v>1.774759392675418E-8</v>
      </c>
      <c r="AM45" s="46">
        <f t="shared" si="43"/>
        <v>3.3276943389291796E-8</v>
      </c>
      <c r="AN45" s="46">
        <f t="shared" si="43"/>
        <v>2.5944395788937148E-9</v>
      </c>
      <c r="AO45" s="27">
        <f t="shared" si="42"/>
        <v>189.66334755808444</v>
      </c>
      <c r="AP45" s="27">
        <f t="shared" si="42"/>
        <v>196101.10469185945</v>
      </c>
      <c r="AQ45" s="28">
        <f t="shared" si="42"/>
        <v>189.48008786754355</v>
      </c>
      <c r="AR45" s="45"/>
      <c r="AS45" s="45"/>
      <c r="AT45" s="46">
        <f>IFERROR(IF(SUM(AR46:AR47)&gt;0.01,1-EXP(-SUM(AR46:AR47)),SUM(AR46:AR47)),".")</f>
        <v>2.6362500000000001E-7</v>
      </c>
      <c r="AU45" s="46">
        <f>IFERROR(IF(SUM(AS46:AS47)&gt;0.01,1-EXP(-SUM(AS46:AS47)),SUM(AS46:AS47)),".")</f>
        <v>2.5497051675749996E-10</v>
      </c>
      <c r="AV45" s="46">
        <f>IFERROR(IF(SUM(AR46:AS47)&gt;0.01,1-EXP(-SUM(AR46:AS47)),SUM(AR46:AS47)),".")</f>
        <v>2.6387997051675754E-7</v>
      </c>
    </row>
    <row r="46" spans="1:48" x14ac:dyDescent="0.25">
      <c r="A46" s="29" t="s">
        <v>303</v>
      </c>
      <c r="B46" s="24">
        <v>1</v>
      </c>
      <c r="C46" s="2"/>
      <c r="D46" s="30">
        <f>IFERROR(D10/$B46,0)</f>
        <v>167804.59155313639</v>
      </c>
      <c r="E46" s="30">
        <f>IFERROR(E10/$B46,0)</f>
        <v>96438.489222940567</v>
      </c>
      <c r="F46" s="30">
        <f>IFERROR(F10/$B46,0)</f>
        <v>6606334.4374366337</v>
      </c>
      <c r="G46" s="30">
        <f t="shared" si="28"/>
        <v>60679.662288217463</v>
      </c>
      <c r="H46" s="38">
        <f>IFERROR(s_RadSpec!$I$10*H10,".")*$B$46</f>
        <v>2.9796562500000001E-10</v>
      </c>
      <c r="I46" s="38">
        <f>IFERROR(s_RadSpec!$G$10*I10,".")*$B$46</f>
        <v>5.1846519375073452E-10</v>
      </c>
      <c r="J46" s="38">
        <f>IFERROR(s_RadSpec!$F$10*J10,".")*$B$46</f>
        <v>7.5684936137445727E-12</v>
      </c>
      <c r="K46" s="47">
        <f t="shared" ref="K46:M47" si="44">IFERROR(IF(H46&gt;0.01,1-EXP(-H46),H46),".")</f>
        <v>2.9796562500000001E-10</v>
      </c>
      <c r="L46" s="47">
        <f t="shared" si="44"/>
        <v>5.1846519375073452E-10</v>
      </c>
      <c r="M46" s="47">
        <f t="shared" si="44"/>
        <v>7.5684936137445727E-12</v>
      </c>
      <c r="N46" s="47">
        <f t="shared" ref="N46:N47" si="45">IFERROR(IF(SUM(H46:J46)&gt;0.01,1-EXP(-SUM(H46:J46)),SUM(H46:J46)),".")</f>
        <v>8.2399931236447911E-10</v>
      </c>
      <c r="O46" s="30">
        <f>IFERROR(O10/$B46,0)</f>
        <v>167804.59155313639</v>
      </c>
      <c r="P46" s="30">
        <f>IFERROR(P10/$B46,0)</f>
        <v>606539.91979966615</v>
      </c>
      <c r="Q46" s="30">
        <f>IFERROR(Q10/$B46,0)</f>
        <v>6606334.4374366337</v>
      </c>
      <c r="R46" s="30">
        <f t="shared" ref="R46:R47" si="46">IF(AND(O46&lt;&gt;0,P46&lt;&gt;0,Q46&lt;&gt;0),1/((1/O46)+(1/P46)+(1/Q46)),IF(AND(O46&lt;&gt;0,P46&lt;&gt;0,Q46=0), 1/((1/O46)+(1/P46)),IF(AND(O46&lt;&gt;0,P46=0,Q46&lt;&gt;0),1/((1/O46)+(1/Q46)),IF(AND(O46=0,P46&lt;&gt;0,Q46&lt;&gt;0),1/((1/P46)+(1/Q46)),IF(AND(O46&lt;&gt;0,P46=0,Q46=0),1/((1/O46)),IF(AND(O46=0,P46&lt;&gt;0,Q46=0),1/((1/P46)),IF(AND(O46=0,P46=0,Q46&lt;&gt;0),1/((1/Q46)),IF(AND(O46=0,P46=0,Q46=0),0))))))))</f>
        <v>128876.30157880019</v>
      </c>
      <c r="S46" s="38">
        <f>IFERROR(s_RadSpec!$I$10*S10,".")*$B$46</f>
        <v>2.9796562500000001E-10</v>
      </c>
      <c r="T46" s="38">
        <f>IFERROR(s_RadSpec!$G$10*T10,".")*$B$46</f>
        <v>8.2434804977905639E-11</v>
      </c>
      <c r="U46" s="38">
        <f>IFERROR(s_RadSpec!$F$10*U10,".")*$B$46</f>
        <v>7.5684936137445727E-12</v>
      </c>
      <c r="V46" s="47">
        <f t="shared" ref="V46:X47" si="47">IFERROR(IF(S46&gt;0.01,1-EXP(-S46),S46),".")</f>
        <v>2.9796562500000001E-10</v>
      </c>
      <c r="W46" s="47">
        <f t="shared" si="47"/>
        <v>8.2434804977905639E-11</v>
      </c>
      <c r="X46" s="47">
        <f t="shared" si="47"/>
        <v>7.5684936137445727E-12</v>
      </c>
      <c r="Y46" s="47">
        <f t="shared" ref="Y46:Y47" si="48">IFERROR(IF(SUM(S46:U46)&gt;0.01,1-EXP(-SUM(S46:U46)),SUM(S46:U46)),".")</f>
        <v>3.8796892359165022E-10</v>
      </c>
      <c r="Z46" s="30">
        <f t="shared" ref="Z46:AP46" si="49">IFERROR(Z10/$B46,0)</f>
        <v>6606334.4374366337</v>
      </c>
      <c r="AA46" s="30">
        <f t="shared" si="49"/>
        <v>29546494.866436254</v>
      </c>
      <c r="AB46" s="30">
        <f t="shared" si="49"/>
        <v>9574037.5268247984</v>
      </c>
      <c r="AC46" s="30">
        <f t="shared" si="49"/>
        <v>6854285.3922771169</v>
      </c>
      <c r="AD46" s="30">
        <f t="shared" si="49"/>
        <v>17269275.959839504</v>
      </c>
      <c r="AE46" s="38">
        <f>IFERROR(s_RadSpec!$F$10*AE10,".")*$B46</f>
        <v>7.5684936137445727E-12</v>
      </c>
      <c r="AF46" s="38">
        <f>IFERROR(s_RadSpec!$M$10*AF10,".")*$B46</f>
        <v>1.6922481067897567E-12</v>
      </c>
      <c r="AG46" s="38">
        <f>IFERROR(s_RadSpec!$N$10*AG10,".")*$B46</f>
        <v>5.2224570730904954E-12</v>
      </c>
      <c r="AH46" s="38">
        <f>IFERROR(s_RadSpec!$O$10*AH10,".")*$B46</f>
        <v>7.2947064702523453E-12</v>
      </c>
      <c r="AI46" s="38">
        <f>IFERROR(s_RadSpec!$K$10*AI10,".")*$B46</f>
        <v>2.8953153633237026E-12</v>
      </c>
      <c r="AJ46" s="47">
        <f t="shared" ref="AJ46:AN47" si="50">IFERROR(IF(AE46&gt;0.01,1-EXP(-AE46),AE46),".")</f>
        <v>7.5684936137445727E-12</v>
      </c>
      <c r="AK46" s="47">
        <f t="shared" si="50"/>
        <v>1.6922481067897567E-12</v>
      </c>
      <c r="AL46" s="47">
        <f t="shared" si="50"/>
        <v>5.2224570730904954E-12</v>
      </c>
      <c r="AM46" s="47">
        <f t="shared" si="50"/>
        <v>7.2947064702523453E-12</v>
      </c>
      <c r="AN46" s="47">
        <f t="shared" si="50"/>
        <v>2.8953153633237026E-12</v>
      </c>
      <c r="AO46" s="30">
        <f t="shared" si="49"/>
        <v>189.66334755808444</v>
      </c>
      <c r="AP46" s="30">
        <f t="shared" si="49"/>
        <v>287860677.16730171</v>
      </c>
      <c r="AQ46" s="30">
        <f t="shared" ref="AQ46:AQ47" si="51">IFERROR(IF(AND(AO46&lt;&gt;0,AP46&lt;&gt;0),1/((1/AO46)+(1/AP46)),IF(AND(AO46&lt;&gt;0,AP46=0),1/((1/AO46)),IF(AND(AO46=0,AP46&lt;&gt;0),1/((1/AP46)),IF(AND(AO46=0,AP46=0),0)))),0)</f>
        <v>189.66322259429273</v>
      </c>
      <c r="AR46" s="38">
        <f>IFERROR(s_RadSpec!$G$10*AR10,".")*$B$46</f>
        <v>2.6362500000000001E-7</v>
      </c>
      <c r="AS46" s="38">
        <f>IFERROR(s_RadSpec!$J$10*AS10,".")*$B$46</f>
        <v>1.7369513784246578E-13</v>
      </c>
      <c r="AT46" s="47">
        <f>IFERROR(IF(AR46&gt;0.01,1-EXP(-AR46),AR46),".")</f>
        <v>2.6362500000000001E-7</v>
      </c>
      <c r="AU46" s="47">
        <f>IFERROR(IF(AS46&gt;0.01,1-EXP(-AS46),AS46),".")</f>
        <v>1.7369513784246578E-13</v>
      </c>
      <c r="AV46" s="47">
        <f>IFERROR(IF(SUM(AR46:AS46)&gt;0.01,1-EXP(-SUM(AR46:AS46)),SUM(AR46:AS46)),".")</f>
        <v>2.6362517369513786E-7</v>
      </c>
    </row>
    <row r="47" spans="1:48" x14ac:dyDescent="0.25">
      <c r="A47" s="29" t="s">
        <v>304</v>
      </c>
      <c r="B47" s="32">
        <v>0.94399</v>
      </c>
      <c r="C47" s="2"/>
      <c r="D47" s="30">
        <f>IFERROR(D6/$B$47,0)</f>
        <v>0</v>
      </c>
      <c r="E47" s="30">
        <f>IFERROR(E6/$B$47,0)</f>
        <v>0</v>
      </c>
      <c r="F47" s="30">
        <f>IFERROR(F6/$B$47,0)</f>
        <v>1227.8483660566571</v>
      </c>
      <c r="G47" s="30">
        <f t="shared" si="28"/>
        <v>1227.8483660566571</v>
      </c>
      <c r="H47" s="38">
        <f>IFERROR(s_RadSpec!$I$6*H6,".")*$B$47</f>
        <v>0</v>
      </c>
      <c r="I47" s="38">
        <f>IFERROR(s_RadSpec!$G$6*I6,".")*$B$47</f>
        <v>0</v>
      </c>
      <c r="J47" s="38">
        <f>IFERROR(s_RadSpec!$F$6*J6,".")*$B$47</f>
        <v>4.0721640702735475E-8</v>
      </c>
      <c r="K47" s="47">
        <f t="shared" si="44"/>
        <v>0</v>
      </c>
      <c r="L47" s="47">
        <f t="shared" si="44"/>
        <v>0</v>
      </c>
      <c r="M47" s="47">
        <f t="shared" si="44"/>
        <v>4.0721640702735475E-8</v>
      </c>
      <c r="N47" s="47">
        <f t="shared" si="45"/>
        <v>4.0721640702735475E-8</v>
      </c>
      <c r="O47" s="30">
        <f>IFERROR(O6/$B$47,0)</f>
        <v>0</v>
      </c>
      <c r="P47" s="30">
        <f>IFERROR(P6/$B$47,0)</f>
        <v>0</v>
      </c>
      <c r="Q47" s="30">
        <f>IFERROR(Q6/$B$47,0)</f>
        <v>1227.8483660566571</v>
      </c>
      <c r="R47" s="30">
        <f t="shared" si="46"/>
        <v>1227.8483660566571</v>
      </c>
      <c r="S47" s="38">
        <f>IFERROR(s_RadSpec!$I$6*S6,".")*$B$47</f>
        <v>0</v>
      </c>
      <c r="T47" s="38">
        <f>IFERROR(s_RadSpec!$G$6*T6,".")*$B$47</f>
        <v>0</v>
      </c>
      <c r="U47" s="38">
        <f>IFERROR(s_RadSpec!$F$6*U6,".")*$B$47</f>
        <v>4.0721640702735475E-8</v>
      </c>
      <c r="V47" s="47">
        <f t="shared" si="47"/>
        <v>0</v>
      </c>
      <c r="W47" s="47">
        <f t="shared" si="47"/>
        <v>0</v>
      </c>
      <c r="X47" s="47">
        <f t="shared" si="47"/>
        <v>4.0721640702735475E-8</v>
      </c>
      <c r="Y47" s="47">
        <f t="shared" si="48"/>
        <v>4.0721640702735475E-8</v>
      </c>
      <c r="Z47" s="30">
        <f t="shared" ref="Z47:AP47" si="52">IFERROR(Z6/$B$47,0)</f>
        <v>1227.8483660566571</v>
      </c>
      <c r="AA47" s="30">
        <f t="shared" si="52"/>
        <v>11245.807280831079</v>
      </c>
      <c r="AB47" s="30">
        <f t="shared" si="52"/>
        <v>2818.1125666003622</v>
      </c>
      <c r="AC47" s="30">
        <f t="shared" si="52"/>
        <v>1502.87129499558</v>
      </c>
      <c r="AD47" s="30">
        <f t="shared" si="52"/>
        <v>19293.51572482361</v>
      </c>
      <c r="AE47" s="38">
        <f>IFERROR(s_RadSpec!$F$6*AE6,".")*$B47</f>
        <v>4.0721640702735475E-8</v>
      </c>
      <c r="AF47" s="38">
        <f>IFERROR(s_RadSpec!$M$6*AF6,".")*$B47</f>
        <v>4.4461014448671001E-9</v>
      </c>
      <c r="AG47" s="38">
        <f>IFERROR(s_RadSpec!$N$6*AG6,".")*$B47</f>
        <v>1.774237146968109E-8</v>
      </c>
      <c r="AH47" s="38">
        <f>IFERROR(s_RadSpec!$O$6*AH6,".")*$B47</f>
        <v>3.3269648682821541E-8</v>
      </c>
      <c r="AI47" s="38">
        <f>IFERROR(s_RadSpec!$K$6*AI6,".")*$B47</f>
        <v>2.591544263530391E-9</v>
      </c>
      <c r="AJ47" s="47">
        <f t="shared" si="50"/>
        <v>4.0721640702735475E-8</v>
      </c>
      <c r="AK47" s="47">
        <f t="shared" si="50"/>
        <v>4.4461014448671001E-9</v>
      </c>
      <c r="AL47" s="47">
        <f t="shared" si="50"/>
        <v>1.774237146968109E-8</v>
      </c>
      <c r="AM47" s="47">
        <f t="shared" si="50"/>
        <v>3.3269648682821541E-8</v>
      </c>
      <c r="AN47" s="47">
        <f t="shared" si="50"/>
        <v>2.591544263530391E-9</v>
      </c>
      <c r="AO47" s="30">
        <f t="shared" si="52"/>
        <v>0</v>
      </c>
      <c r="AP47" s="30">
        <f t="shared" si="52"/>
        <v>196234.78692617457</v>
      </c>
      <c r="AQ47" s="30">
        <f t="shared" si="51"/>
        <v>196234.78692617457</v>
      </c>
      <c r="AR47" s="38">
        <f>IFERROR(s_RadSpec!$G$6*AR6,".")*$B$47</f>
        <v>0</v>
      </c>
      <c r="AS47" s="38">
        <f>IFERROR(s_RadSpec!$J$6*AS6,".")*$B$47</f>
        <v>2.5479682161965752E-10</v>
      </c>
      <c r="AT47" s="47">
        <f>IFERROR(IF(AR47&gt;0.01,1-EXP(-AR47),AR47),".")</f>
        <v>0</v>
      </c>
      <c r="AU47" s="47">
        <f>IFERROR(IF(AS47&gt;0.01,1-EXP(-AS47),AS47),".")</f>
        <v>2.5479682161965752E-10</v>
      </c>
      <c r="AV47" s="47">
        <f>IFERROR(IF(SUM(AR47:AS47)&gt;0.01,1-EXP(-SUM(AR47:AS47)),SUM(AR47:AS47)),".")</f>
        <v>2.5479682161965752E-10</v>
      </c>
    </row>
    <row r="48" spans="1:48" x14ac:dyDescent="0.25">
      <c r="A48" s="26" t="s">
        <v>33</v>
      </c>
      <c r="B48" s="26" t="s">
        <v>289</v>
      </c>
      <c r="C48" s="112"/>
      <c r="D48" s="27">
        <f>1/SUM(1/D49,1/D52,1/D54,1/D58,1/D59,1/D61)</f>
        <v>2285.428865816722</v>
      </c>
      <c r="E48" s="27">
        <f>1/SUM(1/E49,1/E50,1/E51,1/E52,1/E54,1/E58,1/E59,1/E61)</f>
        <v>183.40425173895824</v>
      </c>
      <c r="F48" s="27">
        <f>1/SUM(1/F49,1/F50,1/F52,1/F54,1/F55,1/F56,1/F57,1/F58,1/F59,1/F60,1/F61,1/F62)</f>
        <v>246.52520445285435</v>
      </c>
      <c r="G48" s="28">
        <f>1/SUM(1/G49,1/G50,1/G51,1/G52,1/G54,1/G55,1/G56,1/G57,1/G58,1/G59,1/G60,1/G61,1/G62)</f>
        <v>100.53917845253633</v>
      </c>
      <c r="H48" s="45"/>
      <c r="I48" s="45"/>
      <c r="J48" s="45"/>
      <c r="K48" s="46">
        <f>IFERROR(IF(SUM(H49:H62)&gt;0.01,1-EXP(-SUM(H49:H62)),SUM(H49:H62)),".")</f>
        <v>2.1877731898748891E-8</v>
      </c>
      <c r="L48" s="46">
        <f>IFERROR(IF(SUM(I49:I62)&gt;0.01,1-EXP(-SUM(I49:I62)),SUM(I49:I62)),".")</f>
        <v>2.7262181506656497E-7</v>
      </c>
      <c r="M48" s="46">
        <f>IFERROR(IF(SUM(J49:J62)&gt;0.01,1-EXP(-SUM(J49:J62)),SUM(J49:J62)),".")</f>
        <v>2.0281901848929221E-7</v>
      </c>
      <c r="N48" s="46">
        <f>IFERROR(IF(SUM(H49:J62)&gt;0.01,1-EXP(-SUM(H49:J62)),SUM(H49:J62)),".")</f>
        <v>4.9731856545460607E-7</v>
      </c>
      <c r="O48" s="27">
        <f>1/SUM(1/O49,1/O52,1/O54,1/O58,1/O59,1/O61)</f>
        <v>2285.428865816722</v>
      </c>
      <c r="P48" s="27">
        <f>1/SUM(1/P49,1/P50,1/P51,1/P52,1/P54,1/P58,1/P59,1/P61)</f>
        <v>1153.5021031229878</v>
      </c>
      <c r="Q48" s="27">
        <f>1/SUM(1/Q49,1/Q50,1/Q52,1/Q54,1/Q55,1/Q56,1/Q57,1/Q58,1/Q59,1/Q60,1/Q61,1/Q62)</f>
        <v>246.52520445285435</v>
      </c>
      <c r="R48" s="28">
        <f>1/SUM(1/R49,1/R50,1/R51,1/R52,1/R54,1/R55,1/R56,1/R57,1/R58,1/R59,1/R60,1/R61,1/R62)</f>
        <v>186.53722871851926</v>
      </c>
      <c r="S48" s="45"/>
      <c r="T48" s="45"/>
      <c r="U48" s="45"/>
      <c r="V48" s="46">
        <f>IFERROR(IF(SUM(S49:S62)&gt;0.01,1-EXP(-SUM(S49:S62)),SUM(S49:S62)),".")</f>
        <v>2.1877731898748891E-8</v>
      </c>
      <c r="W48" s="46">
        <f>IFERROR(IF(SUM(T49:T62)&gt;0.01,1-EXP(-SUM(T49:T62)),SUM(T49:T62)),".")</f>
        <v>4.3346258203283877E-8</v>
      </c>
      <c r="X48" s="46">
        <f>IFERROR(IF(SUM(U49:U62)&gt;0.01,1-EXP(-SUM(U49:U62)),SUM(U49:U62)),".")</f>
        <v>2.0281901848929221E-7</v>
      </c>
      <c r="Y48" s="46">
        <f>IFERROR(IF(SUM(S49:U62)&gt;0.01,1-EXP(-SUM(S49:U62)),SUM(S49:U62)),".")</f>
        <v>2.6804300859132494E-7</v>
      </c>
      <c r="Z48" s="27">
        <f t="shared" ref="Z48:AD48" si="53">1/SUM(1/Z49,1/Z50,1/Z52,1/Z54,1/Z55,1/Z56,1/Z57,1/Z58,1/Z59,1/Z60,1/Z61,1/Z62)</f>
        <v>246.52520445285435</v>
      </c>
      <c r="AA48" s="27">
        <f t="shared" si="53"/>
        <v>2729.4386033960241</v>
      </c>
      <c r="AB48" s="27">
        <f t="shared" si="53"/>
        <v>672.95623928845555</v>
      </c>
      <c r="AC48" s="27">
        <f t="shared" si="53"/>
        <v>347.65715182498445</v>
      </c>
      <c r="AD48" s="27">
        <f t="shared" si="53"/>
        <v>5004.6342578183458</v>
      </c>
      <c r="AE48" s="45"/>
      <c r="AF48" s="45"/>
      <c r="AG48" s="45"/>
      <c r="AH48" s="45"/>
      <c r="AI48" s="45"/>
      <c r="AJ48" s="46">
        <f>IFERROR(IF(SUM(AE49:AE62)&gt;0.01,1-EXP(-SUM(AE49:AE62)),SUM(AE49:AE62)),".")</f>
        <v>2.0281901848929221E-7</v>
      </c>
      <c r="AK48" s="46">
        <f t="shared" ref="AK48:AN48" si="54">IFERROR(IF(SUM(AF49:AF62)&gt;0.01,1-EXP(-SUM(AF49:AF62)),SUM(AF49:AF62)),".")</f>
        <v>1.8318785386045673E-8</v>
      </c>
      <c r="AL48" s="46">
        <f t="shared" si="54"/>
        <v>7.4299036223911208E-8</v>
      </c>
      <c r="AM48" s="46">
        <f t="shared" si="54"/>
        <v>1.438198516484733E-7</v>
      </c>
      <c r="AN48" s="46">
        <f t="shared" si="54"/>
        <v>9.990740066946741E-9</v>
      </c>
      <c r="AO48" s="27">
        <f>1/SUM(1/AO49,1/AO50,1/AO51,1/AO52,1/AO54,1/AO58,1/AO59,1/AO61)</f>
        <v>0.36069690246580366</v>
      </c>
      <c r="AP48" s="27">
        <f t="shared" ref="AP48:AQ48" si="55">1/SUM(1/AP49,1/AP50,1/AP51,1/AP52,1/AP53,1/AP54,1/AP55,1/AP56,1/AP57,1/AP58,1/AP59,1/AP60,1/AP61,1/AP62)</f>
        <v>60268.322997553645</v>
      </c>
      <c r="AQ48" s="28">
        <f t="shared" si="55"/>
        <v>0.36069474376168953</v>
      </c>
      <c r="AR48" s="45"/>
      <c r="AS48" s="45"/>
      <c r="AT48" s="46">
        <f>IFERROR(IF(SUM(AR49:AR62)&gt;0.01,1-EXP(-SUM(AR49:AR62)),SUM(AR49:AR62)),".")</f>
        <v>1.3862054167415624E-4</v>
      </c>
      <c r="AU48" s="46">
        <f>IFERROR(IF(SUM(AS49:AS62)&gt;0.01,1-EXP(-SUM(AS49:AS62)),SUM(AS49:AS62)),".")</f>
        <v>8.2962321686019956E-10</v>
      </c>
      <c r="AV48" s="46">
        <f>IFERROR(IF(SUM(AR49:AS62)&gt;0.01,1-EXP(-SUM(AR49:AS62)),SUM(AR49:AS62)),".")</f>
        <v>1.386213712973731E-4</v>
      </c>
    </row>
    <row r="49" spans="1:48" x14ac:dyDescent="0.25">
      <c r="A49" s="29" t="s">
        <v>305</v>
      </c>
      <c r="B49" s="24">
        <v>1</v>
      </c>
      <c r="C49" s="109"/>
      <c r="D49" s="30">
        <f>IFERROR(D23/$B49,0)</f>
        <v>18108.56082212866</v>
      </c>
      <c r="E49" s="30">
        <f>IFERROR(E23/$B49,0)</f>
        <v>385.24705287482169</v>
      </c>
      <c r="F49" s="30">
        <f>IFERROR(F23/$B49,0)</f>
        <v>102730.33114582184</v>
      </c>
      <c r="G49" s="30">
        <f t="shared" si="28"/>
        <v>375.84184145435569</v>
      </c>
      <c r="H49" s="38">
        <f>IFERROR(s_RadSpec!$I$23*H23,".")*$B$49</f>
        <v>2.761125E-9</v>
      </c>
      <c r="I49" s="38">
        <f>IFERROR(s_RadSpec!$G$23*I23,".")*$B$49</f>
        <v>1.2978684619878584E-7</v>
      </c>
      <c r="J49" s="38">
        <f>IFERROR(s_RadSpec!$F$23*J23,".")*$B$49</f>
        <v>4.8671117324665186E-10</v>
      </c>
      <c r="K49" s="47">
        <f t="shared" ref="K49:M62" si="56">IFERROR(IF(H49&gt;0.01,1-EXP(-H49),H49),".")</f>
        <v>2.761125E-9</v>
      </c>
      <c r="L49" s="47">
        <f t="shared" si="56"/>
        <v>1.2978684619878584E-7</v>
      </c>
      <c r="M49" s="47">
        <f t="shared" si="56"/>
        <v>4.8671117324665186E-10</v>
      </c>
      <c r="N49" s="47">
        <f t="shared" ref="N49:N62" si="57">IFERROR(IF(SUM(H49:J49)&gt;0.01,1-EXP(-SUM(H49:J49)),SUM(H49:J49)),".")</f>
        <v>1.330346823720325E-7</v>
      </c>
      <c r="O49" s="30">
        <f>IFERROR(O23/$B49,0)</f>
        <v>18108.56082212866</v>
      </c>
      <c r="P49" s="30">
        <f>IFERROR(P23/$B49,0)</f>
        <v>2422.971558726656</v>
      </c>
      <c r="Q49" s="30">
        <f>IFERROR(Q23/$B49,0)</f>
        <v>102730.33114582184</v>
      </c>
      <c r="R49" s="30">
        <f t="shared" ref="R49:R61" si="58">IF(AND(O49&lt;&gt;0,P49&lt;&gt;0,Q49&lt;&gt;0),1/((1/O49)+(1/P49)+(1/Q49)),IF(AND(O49&lt;&gt;0,P49&lt;&gt;0,Q49=0), 1/((1/O49)+(1/P49)),IF(AND(O49&lt;&gt;0,P49=0,Q49&lt;&gt;0),1/((1/O49)+(1/Q49)),IF(AND(O49=0,P49&lt;&gt;0,Q49&lt;&gt;0),1/((1/P49)+(1/Q49)),IF(AND(O49&lt;&gt;0,P49=0,Q49=0),1/((1/O49)),IF(AND(O49=0,P49&lt;&gt;0,Q49=0),1/((1/P49)),IF(AND(O49=0,P49=0,Q49&lt;&gt;0),1/((1/Q49)),IF(AND(O49=0,P49=0,Q49=0),0))))))))</f>
        <v>2093.4819993659357</v>
      </c>
      <c r="S49" s="38">
        <f>IFERROR(s_RadSpec!$I$23*S23,".")*$B$49</f>
        <v>2.761125E-9</v>
      </c>
      <c r="T49" s="38">
        <f>IFERROR(s_RadSpec!$G$23*T23,".")*$B$49</f>
        <v>2.0635817956640193E-8</v>
      </c>
      <c r="U49" s="38">
        <f>IFERROR(s_RadSpec!$F$23*U23,".")*$B$49</f>
        <v>4.8671117324665186E-10</v>
      </c>
      <c r="V49" s="47">
        <f t="shared" ref="V49:X62" si="59">IFERROR(IF(S49&gt;0.01,1-EXP(-S49),S49),".")</f>
        <v>2.761125E-9</v>
      </c>
      <c r="W49" s="47">
        <f t="shared" si="59"/>
        <v>2.0635817956640193E-8</v>
      </c>
      <c r="X49" s="47">
        <f t="shared" si="59"/>
        <v>4.8671117324665186E-10</v>
      </c>
      <c r="Y49" s="47">
        <f t="shared" ref="Y49:Y62" si="60">IFERROR(IF(SUM(S49:U49)&gt;0.01,1-EXP(-SUM(S49:U49)),SUM(S49:U49)),".")</f>
        <v>2.3883654129886847E-8</v>
      </c>
      <c r="Z49" s="30">
        <f t="shared" ref="Z49:AP49" si="61">IFERROR(Z23/$B49,0)</f>
        <v>102730.33114582184</v>
      </c>
      <c r="AA49" s="30">
        <f t="shared" si="61"/>
        <v>721468.49797887541</v>
      </c>
      <c r="AB49" s="30">
        <f t="shared" si="61"/>
        <v>186591.6941267683</v>
      </c>
      <c r="AC49" s="30">
        <f t="shared" si="61"/>
        <v>108867.84961444046</v>
      </c>
      <c r="AD49" s="30">
        <f t="shared" si="61"/>
        <v>1151412.8580539224</v>
      </c>
      <c r="AE49" s="38">
        <f>IFERROR(s_RadSpec!$F$23*AE23,".")*$B$49</f>
        <v>4.8671117324665186E-10</v>
      </c>
      <c r="AF49" s="38">
        <f>IFERROR(s_RadSpec!$M$23*AF23,".")*$B$49</f>
        <v>6.9303095201065886E-11</v>
      </c>
      <c r="AG49" s="38">
        <f>IFERROR(s_RadSpec!$N$23*AG23,".")*$B$49</f>
        <v>2.6796476785312088E-10</v>
      </c>
      <c r="AH49" s="38">
        <f>IFERROR(s_RadSpec!$O$23*AH23,".")*$B$49</f>
        <v>4.5927241308684675E-10</v>
      </c>
      <c r="AI49" s="38">
        <f>IFERROR(s_RadSpec!$K$23*AI23,".")*$B$49</f>
        <v>4.3424910231164399E-11</v>
      </c>
      <c r="AJ49" s="47">
        <f t="shared" ref="AJ49:AN62" si="62">IFERROR(IF(AE49&gt;0.01,1-EXP(-AE49),AE49),".")</f>
        <v>4.8671117324665186E-10</v>
      </c>
      <c r="AK49" s="47">
        <f t="shared" si="62"/>
        <v>6.9303095201065886E-11</v>
      </c>
      <c r="AL49" s="47">
        <f t="shared" si="62"/>
        <v>2.6796476785312088E-10</v>
      </c>
      <c r="AM49" s="47">
        <f t="shared" si="62"/>
        <v>4.5927241308684675E-10</v>
      </c>
      <c r="AN49" s="47">
        <f t="shared" si="62"/>
        <v>4.3424910231164399E-11</v>
      </c>
      <c r="AO49" s="30">
        <f t="shared" si="61"/>
        <v>0.75765647381941748</v>
      </c>
      <c r="AP49" s="30">
        <f t="shared" si="61"/>
        <v>16398620.543547107</v>
      </c>
      <c r="AQ49" s="30">
        <f t="shared" ref="AQ49:AQ62" si="63">IFERROR(IF(AND(AO49&lt;&gt;0,AP49&lt;&gt;0),1/((1/AO49)+(1/AP49)),IF(AND(AO49&lt;&gt;0,AP49=0),1/((1/AO49)),IF(AND(AO49=0,AP49&lt;&gt;0),1/((1/AP49)),IF(AND(AO49=0,AP49=0),0)))),0)</f>
        <v>0.75765643881383249</v>
      </c>
      <c r="AR49" s="38">
        <f>IFERROR(s_RadSpec!$G$23*AR23,".")*$B$49</f>
        <v>6.5992968749999993E-5</v>
      </c>
      <c r="AS49" s="38">
        <f>IFERROR(s_RadSpec!$J$23*AS23,".")*$B$49</f>
        <v>3.049036952054795E-12</v>
      </c>
      <c r="AT49" s="47">
        <f t="shared" ref="AT49:AU62" si="64">IFERROR(IF(AR49&gt;0.01,1-EXP(-AR49),AR49),".")</f>
        <v>6.5992968749999993E-5</v>
      </c>
      <c r="AU49" s="47">
        <f t="shared" si="64"/>
        <v>3.049036952054795E-12</v>
      </c>
      <c r="AV49" s="47">
        <f t="shared" ref="AV49:AV62" si="65">IFERROR(IF(SUM(AR49:AS49)&gt;0.01,1-EXP(-SUM(AR49:AS49)),SUM(AR49:AS49)),".")</f>
        <v>6.5992971799036941E-5</v>
      </c>
    </row>
    <row r="50" spans="1:48" x14ac:dyDescent="0.25">
      <c r="A50" s="29" t="s">
        <v>306</v>
      </c>
      <c r="B50" s="24">
        <v>1</v>
      </c>
      <c r="C50" s="109"/>
      <c r="D50" s="30">
        <f>IFERROR(D25/$B50,0)</f>
        <v>0</v>
      </c>
      <c r="E50" s="30">
        <f>IFERROR(E25/$B50,0)</f>
        <v>4757632.1349983998</v>
      </c>
      <c r="F50" s="30">
        <f>IFERROR(F25/$B50,0)</f>
        <v>2216459.444744769</v>
      </c>
      <c r="G50" s="30">
        <f t="shared" si="28"/>
        <v>1512039.0318457449</v>
      </c>
      <c r="H50" s="38">
        <f>IFERROR(s_RadSpec!$I$25*H25,".")*$B$50</f>
        <v>0</v>
      </c>
      <c r="I50" s="38">
        <f>IFERROR(s_RadSpec!$G$25*I25,".")*$B$50</f>
        <v>1.050942960305543E-11</v>
      </c>
      <c r="J50" s="38">
        <f>IFERROR(s_RadSpec!$F$25*J25,".")*$B$50</f>
        <v>2.2558499826626709E-11</v>
      </c>
      <c r="K50" s="47">
        <f t="shared" si="56"/>
        <v>0</v>
      </c>
      <c r="L50" s="47">
        <f t="shared" si="56"/>
        <v>1.050942960305543E-11</v>
      </c>
      <c r="M50" s="47">
        <f t="shared" si="56"/>
        <v>2.2558499826626709E-11</v>
      </c>
      <c r="N50" s="47">
        <f t="shared" si="57"/>
        <v>3.3067929429682138E-11</v>
      </c>
      <c r="O50" s="30">
        <f>IFERROR(O25/$B50,0)</f>
        <v>0</v>
      </c>
      <c r="P50" s="30">
        <f>IFERROR(P25/$B50,0)</f>
        <v>29922636.043450192</v>
      </c>
      <c r="Q50" s="30">
        <f>IFERROR(Q25/$B50,0)</f>
        <v>2216459.444744769</v>
      </c>
      <c r="R50" s="30">
        <f t="shared" si="58"/>
        <v>2063602.2346841197</v>
      </c>
      <c r="S50" s="38">
        <f>IFERROR(s_RadSpec!$I$25*S25,".")*$B$50</f>
        <v>0</v>
      </c>
      <c r="T50" s="38">
        <f>IFERROR(s_RadSpec!$G$25*T25,".")*$B$50</f>
        <v>1.6709757765791684E-12</v>
      </c>
      <c r="U50" s="38">
        <f>IFERROR(s_RadSpec!$F$25*U25,".")*$B$50</f>
        <v>2.2558499826626709E-11</v>
      </c>
      <c r="V50" s="47">
        <f t="shared" si="59"/>
        <v>0</v>
      </c>
      <c r="W50" s="47">
        <f t="shared" si="59"/>
        <v>1.6709757765791684E-12</v>
      </c>
      <c r="X50" s="47">
        <f t="shared" si="59"/>
        <v>2.2558499826626709E-11</v>
      </c>
      <c r="Y50" s="47">
        <f t="shared" si="60"/>
        <v>2.4229475603205878E-11</v>
      </c>
      <c r="Z50" s="30">
        <f t="shared" ref="Z50:AP50" si="66">IFERROR(Z25/$B50,0)</f>
        <v>2216459.444744769</v>
      </c>
      <c r="AA50" s="30">
        <f t="shared" si="66"/>
        <v>18833008.629935581</v>
      </c>
      <c r="AB50" s="30">
        <f t="shared" si="66"/>
        <v>4787055.0384824686</v>
      </c>
      <c r="AC50" s="30">
        <f t="shared" si="66"/>
        <v>2792816.8368054889</v>
      </c>
      <c r="AD50" s="30">
        <f t="shared" si="66"/>
        <v>34395805.937368035</v>
      </c>
      <c r="AE50" s="38">
        <f>IFERROR(s_RadSpec!$F$25*AE25,".")*$B$50</f>
        <v>2.2558499826626709E-11</v>
      </c>
      <c r="AF50" s="38">
        <f>IFERROR(s_RadSpec!$M$25*AF25,".")*$B$50</f>
        <v>2.6549130296963629E-12</v>
      </c>
      <c r="AG50" s="38">
        <f>IFERROR(s_RadSpec!$N$25*AG25,".")*$B$50</f>
        <v>1.0444834997311913E-11</v>
      </c>
      <c r="AH50" s="38">
        <f>IFERROR(s_RadSpec!$O$25*AH25,".")*$B$50</f>
        <v>1.7903071673397523E-11</v>
      </c>
      <c r="AI50" s="38">
        <f>IFERROR(s_RadSpec!$K$25*AI25,".")*$B$50</f>
        <v>1.4536656036217306E-12</v>
      </c>
      <c r="AJ50" s="47">
        <f t="shared" si="62"/>
        <v>2.2558499826626709E-11</v>
      </c>
      <c r="AK50" s="47">
        <f t="shared" si="62"/>
        <v>2.6549130296963629E-12</v>
      </c>
      <c r="AL50" s="47">
        <f t="shared" si="62"/>
        <v>1.0444834997311913E-11</v>
      </c>
      <c r="AM50" s="47">
        <f t="shared" si="62"/>
        <v>1.7903071673397523E-11</v>
      </c>
      <c r="AN50" s="47">
        <f t="shared" si="62"/>
        <v>1.4536656036217306E-12</v>
      </c>
      <c r="AO50" s="30">
        <f t="shared" si="66"/>
        <v>9356.7251461988308</v>
      </c>
      <c r="AP50" s="30">
        <f t="shared" si="66"/>
        <v>287860677.16730171</v>
      </c>
      <c r="AQ50" s="30">
        <f t="shared" si="63"/>
        <v>9356.4210217844975</v>
      </c>
      <c r="AR50" s="38">
        <f>IFERROR(s_RadSpec!$G$25*AR$25,".")*$B$50</f>
        <v>5.3437500000000003E-9</v>
      </c>
      <c r="AS50" s="38">
        <f>IFERROR(s_RadSpec!$J$25*AS25,".")*$B$50</f>
        <v>1.7369513784246578E-13</v>
      </c>
      <c r="AT50" s="47">
        <f t="shared" si="64"/>
        <v>5.3437500000000003E-9</v>
      </c>
      <c r="AU50" s="47">
        <f t="shared" si="64"/>
        <v>1.7369513784246578E-13</v>
      </c>
      <c r="AV50" s="47">
        <f t="shared" si="65"/>
        <v>5.3439236951378425E-9</v>
      </c>
    </row>
    <row r="51" spans="1:48" x14ac:dyDescent="0.25">
      <c r="A51" s="29" t="s">
        <v>307</v>
      </c>
      <c r="B51" s="24">
        <v>1</v>
      </c>
      <c r="C51" s="109"/>
      <c r="D51" s="30">
        <f>IFERROR(D21/$B51,0)</f>
        <v>0</v>
      </c>
      <c r="E51" s="30">
        <f>IFERROR(E21/$B51,0)</f>
        <v>780388.58041700383</v>
      </c>
      <c r="F51" s="30">
        <f>IFERROR(F21/$B51,0)</f>
        <v>0</v>
      </c>
      <c r="G51" s="30">
        <f t="shared" si="28"/>
        <v>780388.58041700383</v>
      </c>
      <c r="H51" s="38">
        <f>IFERROR(s_RadSpec!$I$21*H21,".")*$B$51</f>
        <v>0</v>
      </c>
      <c r="I51" s="38">
        <f>IFERROR(s_RadSpec!$G$21*I21,".")*$B$51</f>
        <v>6.4070645387048454E-11</v>
      </c>
      <c r="J51" s="38">
        <f>IFERROR(s_RadSpec!$F$21*J21,".")*$B$51</f>
        <v>0</v>
      </c>
      <c r="K51" s="47">
        <f t="shared" si="56"/>
        <v>0</v>
      </c>
      <c r="L51" s="47">
        <f t="shared" si="56"/>
        <v>6.4070645387048454E-11</v>
      </c>
      <c r="M51" s="47">
        <f t="shared" si="56"/>
        <v>0</v>
      </c>
      <c r="N51" s="47">
        <f t="shared" si="57"/>
        <v>6.4070645387048454E-11</v>
      </c>
      <c r="O51" s="30">
        <f>IFERROR(O21/$B51,0)</f>
        <v>0</v>
      </c>
      <c r="P51" s="30">
        <f>IFERROR(P21/$B51,0)</f>
        <v>4908173.3941774433</v>
      </c>
      <c r="Q51" s="30">
        <f>IFERROR(Q21/$B51,0)</f>
        <v>0</v>
      </c>
      <c r="R51" s="30">
        <f t="shared" si="58"/>
        <v>4908173.3941774433</v>
      </c>
      <c r="S51" s="38">
        <f>IFERROR(s_RadSpec!$I$21*S21,".")*$B$51</f>
        <v>0</v>
      </c>
      <c r="T51" s="38">
        <f>IFERROR(s_RadSpec!$G$21*T21,".")*$B$51</f>
        <v>1.018708916423265E-11</v>
      </c>
      <c r="U51" s="38">
        <f>IFERROR(s_RadSpec!$F$21*U21,".")*$B$51</f>
        <v>0</v>
      </c>
      <c r="V51" s="47">
        <f t="shared" si="59"/>
        <v>0</v>
      </c>
      <c r="W51" s="47">
        <f t="shared" si="59"/>
        <v>1.018708916423265E-11</v>
      </c>
      <c r="X51" s="47">
        <f t="shared" si="59"/>
        <v>0</v>
      </c>
      <c r="Y51" s="47">
        <f t="shared" si="60"/>
        <v>1.018708916423265E-11</v>
      </c>
      <c r="Z51" s="30">
        <f t="shared" ref="Z51:AP51" si="67">IFERROR(Z21/$B51,0)</f>
        <v>0</v>
      </c>
      <c r="AA51" s="30">
        <f t="shared" si="67"/>
        <v>0</v>
      </c>
      <c r="AB51" s="30">
        <f t="shared" si="67"/>
        <v>0</v>
      </c>
      <c r="AC51" s="30">
        <f t="shared" si="67"/>
        <v>0</v>
      </c>
      <c r="AD51" s="30">
        <f t="shared" si="67"/>
        <v>0</v>
      </c>
      <c r="AE51" s="38">
        <f>IFERROR(s_RadSpec!$F$21*AE21,".")*$B$51</f>
        <v>0</v>
      </c>
      <c r="AF51" s="38">
        <f>IFERROR(s_RadSpec!$M$21*AF21,".")*$B$51</f>
        <v>0</v>
      </c>
      <c r="AG51" s="38">
        <f>IFERROR(s_RadSpec!$N$21*AG21,".")*$B$51</f>
        <v>0</v>
      </c>
      <c r="AH51" s="38">
        <f>IFERROR(s_RadSpec!$O$21*AH21,".")*$B$51</f>
        <v>0</v>
      </c>
      <c r="AI51" s="38">
        <f>IFERROR(s_RadSpec!$K$21*AI21,".")*$B$51</f>
        <v>0</v>
      </c>
      <c r="AJ51" s="47">
        <f t="shared" si="62"/>
        <v>0</v>
      </c>
      <c r="AK51" s="47">
        <f t="shared" si="62"/>
        <v>0</v>
      </c>
      <c r="AL51" s="47">
        <f t="shared" si="62"/>
        <v>0</v>
      </c>
      <c r="AM51" s="47">
        <f t="shared" si="62"/>
        <v>0</v>
      </c>
      <c r="AN51" s="47">
        <f t="shared" si="62"/>
        <v>0</v>
      </c>
      <c r="AO51" s="30">
        <f t="shared" si="67"/>
        <v>1534.7721822541969</v>
      </c>
      <c r="AP51" s="30">
        <f t="shared" si="67"/>
        <v>11838057433803.236</v>
      </c>
      <c r="AQ51" s="30">
        <f t="shared" si="63"/>
        <v>1534.7721820552179</v>
      </c>
      <c r="AR51" s="38">
        <f>IFERROR(s_RadSpec!$G$21*AR21,".")*$B$51</f>
        <v>3.2578124999999999E-8</v>
      </c>
      <c r="AS51" s="38">
        <f>IFERROR(s_RadSpec!$J$21*AS21,".")*$B$51</f>
        <v>4.2236659417808223E-18</v>
      </c>
      <c r="AT51" s="47">
        <f t="shared" si="64"/>
        <v>3.2578124999999999E-8</v>
      </c>
      <c r="AU51" s="47">
        <f t="shared" si="64"/>
        <v>4.2236659417808223E-18</v>
      </c>
      <c r="AV51" s="47">
        <f t="shared" si="65"/>
        <v>3.2578125004223663E-8</v>
      </c>
    </row>
    <row r="52" spans="1:48" x14ac:dyDescent="0.25">
      <c r="A52" s="29" t="s">
        <v>308</v>
      </c>
      <c r="B52" s="32">
        <v>0.99980000000000002</v>
      </c>
      <c r="C52" s="109"/>
      <c r="D52" s="30">
        <f>IFERROR(D17/$B52,0)</f>
        <v>24190097.104008749</v>
      </c>
      <c r="E52" s="30">
        <f>IFERROR(E17/$B52,0)</f>
        <v>139634.12074688234</v>
      </c>
      <c r="F52" s="30">
        <f>IFERROR(F17/$B52,0)</f>
        <v>5191.3779840096213</v>
      </c>
      <c r="G52" s="30">
        <f t="shared" si="28"/>
        <v>5004.2537153073226</v>
      </c>
      <c r="H52" s="38">
        <f>IFERROR(s_RadSpec!$I$17*H17,".")*$B$52</f>
        <v>2.066961525E-12</v>
      </c>
      <c r="I52" s="38">
        <f>IFERROR(s_RadSpec!$G$17*I17,".")*$B$52</f>
        <v>3.5807866825498923E-10</v>
      </c>
      <c r="J52" s="38">
        <f>IFERROR(s_RadSpec!$F$17*J17,".")*$B$52</f>
        <v>9.6313541710907994E-9</v>
      </c>
      <c r="K52" s="47">
        <f t="shared" si="56"/>
        <v>2.066961525E-12</v>
      </c>
      <c r="L52" s="47">
        <f t="shared" si="56"/>
        <v>3.5807866825498923E-10</v>
      </c>
      <c r="M52" s="47">
        <f t="shared" si="56"/>
        <v>9.6313541710907994E-9</v>
      </c>
      <c r="N52" s="47">
        <f t="shared" si="57"/>
        <v>9.9914998008707884E-9</v>
      </c>
      <c r="O52" s="30">
        <f>IFERROR(O17/$B52,0)</f>
        <v>24190097.104008749</v>
      </c>
      <c r="P52" s="30">
        <f>IFERROR(P17/$B52,0)</f>
        <v>878214.38392011006</v>
      </c>
      <c r="Q52" s="30">
        <f>IFERROR(Q17/$B52,0)</f>
        <v>5191.3779840096213</v>
      </c>
      <c r="R52" s="30">
        <f t="shared" si="58"/>
        <v>5159.7697741720795</v>
      </c>
      <c r="S52" s="38">
        <f>IFERROR(s_RadSpec!$I$17*S17,".")*$B$52</f>
        <v>2.066961525E-12</v>
      </c>
      <c r="T52" s="38">
        <f>IFERROR(s_RadSpec!$G$17*T17,".")*$B$52</f>
        <v>5.6933706524839188E-11</v>
      </c>
      <c r="U52" s="38">
        <f>IFERROR(s_RadSpec!$F$17*U17,".")*$B$52</f>
        <v>9.6313541710907994E-9</v>
      </c>
      <c r="V52" s="47">
        <f t="shared" si="59"/>
        <v>2.066961525E-12</v>
      </c>
      <c r="W52" s="47">
        <f t="shared" si="59"/>
        <v>5.6933706524839188E-11</v>
      </c>
      <c r="X52" s="47">
        <f t="shared" si="59"/>
        <v>9.6313541710907994E-9</v>
      </c>
      <c r="Y52" s="47">
        <f t="shared" si="60"/>
        <v>9.6903548391406381E-9</v>
      </c>
      <c r="Z52" s="30">
        <f t="shared" ref="Z52:AP52" si="68">IFERROR(Z17/$B52,0)</f>
        <v>5191.3779840096213</v>
      </c>
      <c r="AA52" s="30">
        <f t="shared" si="68"/>
        <v>39881.915965368324</v>
      </c>
      <c r="AB52" s="30">
        <f t="shared" si="68"/>
        <v>10788.608051539102</v>
      </c>
      <c r="AC52" s="30">
        <f t="shared" si="68"/>
        <v>6490.4050876762176</v>
      </c>
      <c r="AD52" s="30">
        <f t="shared" si="68"/>
        <v>77459.440222202844</v>
      </c>
      <c r="AE52" s="38">
        <f>IFERROR(s_RadSpec!$F$17*AE17,".")*$B$52</f>
        <v>9.6313541710907994E-9</v>
      </c>
      <c r="AF52" s="38">
        <f>IFERROR(s_RadSpec!$M$17*AF17,".")*$B$52</f>
        <v>1.2537010519609384E-9</v>
      </c>
      <c r="AG52" s="38">
        <f>IFERROR(s_RadSpec!$N$17*AG17,".")*$B$52</f>
        <v>4.6345181659340207E-9</v>
      </c>
      <c r="AH52" s="38">
        <f>IFERROR(s_RadSpec!$O$17*AH17,".")*$B$52</f>
        <v>7.7036794043777784E-9</v>
      </c>
      <c r="AI52" s="38">
        <f>IFERROR(s_RadSpec!$K$17*AI17,".")*$B$52</f>
        <v>6.4549911355631111E-10</v>
      </c>
      <c r="AJ52" s="47">
        <f t="shared" si="62"/>
        <v>9.6313541710907994E-9</v>
      </c>
      <c r="AK52" s="47">
        <f t="shared" si="62"/>
        <v>1.2537010519609384E-9</v>
      </c>
      <c r="AL52" s="47">
        <f t="shared" si="62"/>
        <v>4.6345181659340207E-9</v>
      </c>
      <c r="AM52" s="47">
        <f t="shared" si="62"/>
        <v>7.7036794043777784E-9</v>
      </c>
      <c r="AN52" s="47">
        <f t="shared" si="62"/>
        <v>6.4549911355631111E-10</v>
      </c>
      <c r="AO52" s="30">
        <f t="shared" si="68"/>
        <v>274.6151975997945</v>
      </c>
      <c r="AP52" s="30">
        <f t="shared" si="68"/>
        <v>458426.55502755695</v>
      </c>
      <c r="AQ52" s="30">
        <f t="shared" si="63"/>
        <v>274.45079098466476</v>
      </c>
      <c r="AR52" s="38">
        <f>IFERROR(s_RadSpec!$G$17*AR17,".")*$B$52</f>
        <v>1.8207295312499999E-7</v>
      </c>
      <c r="AS52" s="38">
        <f>IFERROR(s_RadSpec!$J$17*AS17,".")*$B$52</f>
        <v>1.0906872529885275E-10</v>
      </c>
      <c r="AT52" s="47">
        <f t="shared" si="64"/>
        <v>1.8207295312499999E-7</v>
      </c>
      <c r="AU52" s="47">
        <f t="shared" si="64"/>
        <v>1.0906872529885275E-10</v>
      </c>
      <c r="AV52" s="47">
        <f t="shared" si="65"/>
        <v>1.8218202185029885E-7</v>
      </c>
    </row>
    <row r="53" spans="1:48" x14ac:dyDescent="0.25">
      <c r="A53" s="29" t="s">
        <v>309</v>
      </c>
      <c r="B53" s="24">
        <v>2.0000000000000001E-4</v>
      </c>
      <c r="C53" s="109"/>
      <c r="D53" s="30">
        <f>IFERROR(D5/$B53,0)</f>
        <v>0</v>
      </c>
      <c r="E53" s="30">
        <f>IFERROR(E5/$B53,0)</f>
        <v>0</v>
      </c>
      <c r="F53" s="30">
        <f>IFERROR(F5/$B53,0)</f>
        <v>0</v>
      </c>
      <c r="G53" s="30">
        <f t="shared" si="28"/>
        <v>0</v>
      </c>
      <c r="H53" s="38">
        <f>IFERROR(s_RadSpec!$I$5*H5,".")*$B$53</f>
        <v>0</v>
      </c>
      <c r="I53" s="38">
        <f>IFERROR(s_RadSpec!$G$5*I5,".")*$B$53</f>
        <v>0</v>
      </c>
      <c r="J53" s="38">
        <f>IFERROR(s_RadSpec!$F$5*J5,".")*$B$53</f>
        <v>0</v>
      </c>
      <c r="K53" s="47">
        <f t="shared" si="56"/>
        <v>0</v>
      </c>
      <c r="L53" s="47">
        <f t="shared" si="56"/>
        <v>0</v>
      </c>
      <c r="M53" s="47">
        <f t="shared" si="56"/>
        <v>0</v>
      </c>
      <c r="N53" s="47">
        <f t="shared" si="57"/>
        <v>0</v>
      </c>
      <c r="O53" s="30">
        <f>IFERROR(O5/$B53,0)</f>
        <v>0</v>
      </c>
      <c r="P53" s="30">
        <f>IFERROR(P5/$B53,0)</f>
        <v>0</v>
      </c>
      <c r="Q53" s="30">
        <f>IFERROR(Q5/$B53,0)</f>
        <v>0</v>
      </c>
      <c r="R53" s="30">
        <f t="shared" si="58"/>
        <v>0</v>
      </c>
      <c r="S53" s="38">
        <f>IFERROR(s_RadSpec!$I$5*S5,".")*$B$53</f>
        <v>0</v>
      </c>
      <c r="T53" s="38">
        <f>IFERROR(s_RadSpec!$G$5*T5,".")*$B$53</f>
        <v>0</v>
      </c>
      <c r="U53" s="38">
        <f>IFERROR(s_RadSpec!$F$5*U5,".")*$B$53</f>
        <v>0</v>
      </c>
      <c r="V53" s="47">
        <f t="shared" si="59"/>
        <v>0</v>
      </c>
      <c r="W53" s="47">
        <f t="shared" si="59"/>
        <v>0</v>
      </c>
      <c r="X53" s="47">
        <f t="shared" si="59"/>
        <v>0</v>
      </c>
      <c r="Y53" s="47">
        <f t="shared" si="60"/>
        <v>0</v>
      </c>
      <c r="Z53" s="30">
        <f t="shared" ref="Z53:AP53" si="69">IFERROR(Z5/$B53,0)</f>
        <v>0</v>
      </c>
      <c r="AA53" s="30">
        <f t="shared" si="69"/>
        <v>0</v>
      </c>
      <c r="AB53" s="30">
        <f t="shared" si="69"/>
        <v>0</v>
      </c>
      <c r="AC53" s="30">
        <f t="shared" si="69"/>
        <v>0</v>
      </c>
      <c r="AD53" s="30">
        <f t="shared" si="69"/>
        <v>0</v>
      </c>
      <c r="AE53" s="38">
        <f>IFERROR(s_RadSpec!$F$5*AE5,".")*$B$53</f>
        <v>0</v>
      </c>
      <c r="AF53" s="38">
        <f>IFERROR(s_RadSpec!$M$5*AF5,".")*$B$53</f>
        <v>0</v>
      </c>
      <c r="AG53" s="38">
        <f>IFERROR(s_RadSpec!$N$5*AG5,".")*$B$53</f>
        <v>0</v>
      </c>
      <c r="AH53" s="38">
        <f>IFERROR(s_RadSpec!$O$5*AH5,".")*$B$53</f>
        <v>0</v>
      </c>
      <c r="AI53" s="38">
        <f>IFERROR(s_RadSpec!$K$5*AI5,".")*$B$53</f>
        <v>0</v>
      </c>
      <c r="AJ53" s="47">
        <f t="shared" si="62"/>
        <v>0</v>
      </c>
      <c r="AK53" s="47">
        <f t="shared" si="62"/>
        <v>0</v>
      </c>
      <c r="AL53" s="47">
        <f t="shared" si="62"/>
        <v>0</v>
      </c>
      <c r="AM53" s="47">
        <f t="shared" si="62"/>
        <v>0</v>
      </c>
      <c r="AN53" s="47">
        <f t="shared" si="62"/>
        <v>0</v>
      </c>
      <c r="AO53" s="30">
        <f t="shared" si="69"/>
        <v>0</v>
      </c>
      <c r="AP53" s="30">
        <f t="shared" si="69"/>
        <v>75781504026997.984</v>
      </c>
      <c r="AQ53" s="30">
        <f t="shared" si="63"/>
        <v>75781504026997.984</v>
      </c>
      <c r="AR53" s="38">
        <f>IFERROR(s_RadSpec!$G$5*AR5,".")*$B$53</f>
        <v>0</v>
      </c>
      <c r="AS53" s="38">
        <f>IFERROR(s_RadSpec!$J$5*AS5,".")*$B$53</f>
        <v>6.5979160273972614E-19</v>
      </c>
      <c r="AT53" s="47">
        <f t="shared" si="64"/>
        <v>0</v>
      </c>
      <c r="AU53" s="47">
        <f t="shared" si="64"/>
        <v>6.5979160273972614E-19</v>
      </c>
      <c r="AV53" s="47">
        <f t="shared" si="65"/>
        <v>6.5979160273972614E-19</v>
      </c>
    </row>
    <row r="54" spans="1:48" x14ac:dyDescent="0.25">
      <c r="A54" s="29" t="s">
        <v>310</v>
      </c>
      <c r="B54" s="24">
        <v>0.99999979999999999</v>
      </c>
      <c r="C54" s="109"/>
      <c r="D54" s="30">
        <f>IFERROR(D9/$B54,0)</f>
        <v>36217128.887683101</v>
      </c>
      <c r="E54" s="30">
        <f>IFERROR(E9/$B54,0)</f>
        <v>175524.3274640298</v>
      </c>
      <c r="F54" s="30">
        <f>IFERROR(F9/$B54,0)</f>
        <v>259.6300509239166</v>
      </c>
      <c r="G54" s="30">
        <f t="shared" si="28"/>
        <v>259.24472584944493</v>
      </c>
      <c r="H54" s="38">
        <f>IFERROR(s_RadSpec!$I$9*H9,".")*$B$54</f>
        <v>1.3805622238875E-12</v>
      </c>
      <c r="I54" s="38">
        <f>IFERROR(s_RadSpec!$G$9*I9,".")*$B$54</f>
        <v>2.8486079805801565E-10</v>
      </c>
      <c r="J54" s="38">
        <f>IFERROR(s_RadSpec!$F$9*J9,".")*$B$54</f>
        <v>1.9258171318023693E-7</v>
      </c>
      <c r="K54" s="47">
        <f t="shared" si="56"/>
        <v>1.3805622238875E-12</v>
      </c>
      <c r="L54" s="47">
        <f t="shared" si="56"/>
        <v>2.8486079805801565E-10</v>
      </c>
      <c r="M54" s="47">
        <f t="shared" si="56"/>
        <v>1.9258171318023693E-7</v>
      </c>
      <c r="N54" s="47">
        <f t="shared" si="57"/>
        <v>1.9286795454051882E-7</v>
      </c>
      <c r="O54" s="30">
        <f>IFERROR(O9/$B54,0)</f>
        <v>36217128.887683101</v>
      </c>
      <c r="P54" s="30">
        <f>IFERROR(P9/$B54,0)</f>
        <v>1103942.1330710552</v>
      </c>
      <c r="Q54" s="30">
        <f>IFERROR(Q9/$B54,0)</f>
        <v>259.6300509239166</v>
      </c>
      <c r="R54" s="30">
        <f t="shared" si="58"/>
        <v>259.56714400017285</v>
      </c>
      <c r="S54" s="38">
        <f>IFERROR(s_RadSpec!$I$9*S9,".")*$B$54</f>
        <v>1.3805622238875E-12</v>
      </c>
      <c r="T54" s="38">
        <f>IFERROR(s_RadSpec!$G$9*T9,".")*$B$54</f>
        <v>4.5292229096198243E-11</v>
      </c>
      <c r="U54" s="38">
        <f>IFERROR(s_RadSpec!$F$9*U9,".")*$B$54</f>
        <v>1.9258171318023693E-7</v>
      </c>
      <c r="V54" s="47">
        <f t="shared" si="59"/>
        <v>1.3805622238875E-12</v>
      </c>
      <c r="W54" s="47">
        <f t="shared" si="59"/>
        <v>4.5292229096198243E-11</v>
      </c>
      <c r="X54" s="47">
        <f t="shared" si="59"/>
        <v>1.9258171318023693E-7</v>
      </c>
      <c r="Y54" s="47">
        <f t="shared" si="60"/>
        <v>1.9262838597155702E-7</v>
      </c>
      <c r="Z54" s="30">
        <f t="shared" ref="Z54:AP54" si="70">IFERROR(Z9/$B54,0)</f>
        <v>259.6300509239166</v>
      </c>
      <c r="AA54" s="30">
        <f t="shared" si="70"/>
        <v>2944.3721856980505</v>
      </c>
      <c r="AB54" s="30">
        <f t="shared" si="70"/>
        <v>721.03906834702377</v>
      </c>
      <c r="AC54" s="30">
        <f t="shared" si="70"/>
        <v>368.82260286930165</v>
      </c>
      <c r="AD54" s="30">
        <f t="shared" si="70"/>
        <v>5385.9887956929606</v>
      </c>
      <c r="AE54" s="38">
        <f>IFERROR(s_RadSpec!$F$9*AE9,".")*$B$54</f>
        <v>1.9258171318023693E-7</v>
      </c>
      <c r="AF54" s="38">
        <f>IFERROR(s_RadSpec!$M$9*AF9,".")*$B$54</f>
        <v>1.6981548814674063E-8</v>
      </c>
      <c r="AG54" s="38">
        <f>IFERROR(s_RadSpec!$N$9*AG9,".")*$B$54</f>
        <v>6.934437008333627E-8</v>
      </c>
      <c r="AH54" s="38">
        <f>IFERROR(s_RadSpec!$O$9*AH9,".")*$B$54</f>
        <v>1.3556652876211694E-7</v>
      </c>
      <c r="AI54" s="38">
        <f>IFERROR(s_RadSpec!$K$9*AI9,".")*$B$54</f>
        <v>9.2833464562688577E-9</v>
      </c>
      <c r="AJ54" s="47">
        <f t="shared" si="62"/>
        <v>1.9258171318023693E-7</v>
      </c>
      <c r="AK54" s="47">
        <f t="shared" si="62"/>
        <v>1.6981548814674063E-8</v>
      </c>
      <c r="AL54" s="47">
        <f t="shared" si="62"/>
        <v>6.934437008333627E-8</v>
      </c>
      <c r="AM54" s="47">
        <f t="shared" si="62"/>
        <v>1.3556652876211694E-7</v>
      </c>
      <c r="AN54" s="47">
        <f t="shared" si="62"/>
        <v>9.2833464562688577E-9</v>
      </c>
      <c r="AO54" s="30">
        <f t="shared" si="70"/>
        <v>345.19963754046688</v>
      </c>
      <c r="AP54" s="30">
        <f t="shared" si="70"/>
        <v>69830.090975189116</v>
      </c>
      <c r="AQ54" s="30">
        <f t="shared" si="63"/>
        <v>343.50156420557067</v>
      </c>
      <c r="AR54" s="38">
        <f>IFERROR(s_RadSpec!$G$9*AR9,".")*$B$54</f>
        <v>1.4484372103125E-7</v>
      </c>
      <c r="AS54" s="38">
        <f>IFERROR(s_RadSpec!$J$9*AS9,".")*$B$54</f>
        <v>7.1602369840482077E-10</v>
      </c>
      <c r="AT54" s="47">
        <f t="shared" si="64"/>
        <v>1.4484372103125E-7</v>
      </c>
      <c r="AU54" s="47">
        <f t="shared" si="64"/>
        <v>7.1602369840482077E-10</v>
      </c>
      <c r="AV54" s="47">
        <f t="shared" si="65"/>
        <v>1.4555974472965481E-7</v>
      </c>
    </row>
    <row r="55" spans="1:48" x14ac:dyDescent="0.25">
      <c r="A55" s="29" t="s">
        <v>311</v>
      </c>
      <c r="B55" s="24">
        <v>1.9999999999999999E-7</v>
      </c>
      <c r="C55" s="109"/>
      <c r="D55" s="30">
        <f>IFERROR(D24/$B55,0)</f>
        <v>0</v>
      </c>
      <c r="E55" s="30">
        <f>IFERROR(E24/$B55,0)</f>
        <v>0</v>
      </c>
      <c r="F55" s="30">
        <f>IFERROR(F24/$B55,0)</f>
        <v>4968906622792.8906</v>
      </c>
      <c r="G55" s="30">
        <f t="shared" si="28"/>
        <v>4968906622792.8906</v>
      </c>
      <c r="H55" s="38">
        <f>IFERROR(s_RadSpec!$I$24*H24,".")*$B$55</f>
        <v>0</v>
      </c>
      <c r="I55" s="38">
        <f>IFERROR(s_RadSpec!$G$24*I24,".")*$B$55</f>
        <v>0</v>
      </c>
      <c r="J55" s="38">
        <f>IFERROR(s_RadSpec!$F$24*J24,".")*$B$55</f>
        <v>1.0062575893586895E-17</v>
      </c>
      <c r="K55" s="47">
        <f t="shared" si="56"/>
        <v>0</v>
      </c>
      <c r="L55" s="47">
        <f t="shared" si="56"/>
        <v>0</v>
      </c>
      <c r="M55" s="47">
        <f t="shared" si="56"/>
        <v>1.0062575893586895E-17</v>
      </c>
      <c r="N55" s="47">
        <f t="shared" si="57"/>
        <v>1.0062575893586895E-17</v>
      </c>
      <c r="O55" s="30">
        <f>IFERROR(O24/$B55,0)</f>
        <v>0</v>
      </c>
      <c r="P55" s="30">
        <f>IFERROR(P24/$B55,0)</f>
        <v>0</v>
      </c>
      <c r="Q55" s="30">
        <f>IFERROR(Q24/$B55,0)</f>
        <v>4968906622792.8906</v>
      </c>
      <c r="R55" s="30">
        <f t="shared" si="58"/>
        <v>4968906622792.8906</v>
      </c>
      <c r="S55" s="38">
        <f>IFERROR(s_RadSpec!$I$24*S24,".")*$B$55</f>
        <v>0</v>
      </c>
      <c r="T55" s="38">
        <f>IFERROR(s_RadSpec!$G$24*T24,".")*$B$55</f>
        <v>0</v>
      </c>
      <c r="U55" s="38">
        <f>IFERROR(s_RadSpec!$F$24*U24,".")*$B$55</f>
        <v>1.0062575893586895E-17</v>
      </c>
      <c r="V55" s="47">
        <f t="shared" si="59"/>
        <v>0</v>
      </c>
      <c r="W55" s="47">
        <f t="shared" si="59"/>
        <v>0</v>
      </c>
      <c r="X55" s="47">
        <f t="shared" si="59"/>
        <v>1.0062575893586895E-17</v>
      </c>
      <c r="Y55" s="47">
        <f t="shared" si="60"/>
        <v>1.0062575893586895E-17</v>
      </c>
      <c r="Z55" s="30">
        <f t="shared" ref="Z55:AP55" si="71">IFERROR(Z24/$B55,0)</f>
        <v>4968906622792.8906</v>
      </c>
      <c r="AA55" s="30">
        <f t="shared" si="71"/>
        <v>43775529434168.063</v>
      </c>
      <c r="AB55" s="30">
        <f t="shared" si="71"/>
        <v>10979824257602.219</v>
      </c>
      <c r="AC55" s="30">
        <f t="shared" si="71"/>
        <v>5924497483809.749</v>
      </c>
      <c r="AD55" s="30">
        <f t="shared" si="71"/>
        <v>74477364521660.875</v>
      </c>
      <c r="AE55" s="38">
        <f>IFERROR(s_RadSpec!$F$24*AE24,".")*$B$55</f>
        <v>1.0062575893586895E-17</v>
      </c>
      <c r="AF55" s="38">
        <f>IFERROR(s_RadSpec!$M$24*AF24,".")*$B$55</f>
        <v>1.1421906404397148E-18</v>
      </c>
      <c r="AG55" s="38">
        <f>IFERROR(s_RadSpec!$N$24*AG24,".")*$B$55</f>
        <v>4.5538069487206015E-18</v>
      </c>
      <c r="AH55" s="38">
        <f>IFERROR(s_RadSpec!$O$24*AH24,".")*$B$55</f>
        <v>8.4395343464383576E-18</v>
      </c>
      <c r="AI55" s="38">
        <f>IFERROR(s_RadSpec!$K$24*AI24,".")*$B$55</f>
        <v>6.7134491561470467E-19</v>
      </c>
      <c r="AJ55" s="47">
        <f t="shared" si="62"/>
        <v>1.0062575893586895E-17</v>
      </c>
      <c r="AK55" s="47">
        <f t="shared" si="62"/>
        <v>1.1421906404397148E-18</v>
      </c>
      <c r="AL55" s="47">
        <f t="shared" si="62"/>
        <v>4.5538069487206015E-18</v>
      </c>
      <c r="AM55" s="47">
        <f t="shared" si="62"/>
        <v>8.4395343464383576E-18</v>
      </c>
      <c r="AN55" s="47">
        <f t="shared" si="62"/>
        <v>6.7134491561470467E-19</v>
      </c>
      <c r="AO55" s="30">
        <f t="shared" si="71"/>
        <v>0</v>
      </c>
      <c r="AP55" s="30">
        <f t="shared" si="71"/>
        <v>732832126854486</v>
      </c>
      <c r="AQ55" s="30">
        <f t="shared" si="63"/>
        <v>732832126854486</v>
      </c>
      <c r="AR55" s="38">
        <f>IFERROR(s_RadSpec!$G$24*AR24,".")*$B$55</f>
        <v>0</v>
      </c>
      <c r="AS55" s="38">
        <f>IFERROR(s_RadSpec!$J$24*AS24,".")*$B$55</f>
        <v>6.8228449828767122E-20</v>
      </c>
      <c r="AT55" s="47">
        <f t="shared" si="64"/>
        <v>0</v>
      </c>
      <c r="AU55" s="47">
        <f t="shared" si="64"/>
        <v>6.8228449828767122E-20</v>
      </c>
      <c r="AV55" s="47">
        <f t="shared" si="65"/>
        <v>6.8228449828767122E-20</v>
      </c>
    </row>
    <row r="56" spans="1:48" x14ac:dyDescent="0.25">
      <c r="A56" s="29" t="s">
        <v>312</v>
      </c>
      <c r="B56" s="24">
        <v>0.99979000004200003</v>
      </c>
      <c r="C56" s="109"/>
      <c r="D56" s="30">
        <f>IFERROR(D20/$B56,0)</f>
        <v>0</v>
      </c>
      <c r="E56" s="30">
        <f>IFERROR(E20/$B56,0)</f>
        <v>0</v>
      </c>
      <c r="F56" s="30">
        <f>IFERROR(F20/$B56,0)</f>
        <v>6841384.0151537973</v>
      </c>
      <c r="G56" s="30">
        <f t="shared" si="28"/>
        <v>6841384.0151537973</v>
      </c>
      <c r="H56" s="38">
        <f>IFERROR(s_RadSpec!$I$20*H20,".")*$B$56</f>
        <v>0</v>
      </c>
      <c r="I56" s="38">
        <f>IFERROR(s_RadSpec!$G$20*I20,".")*$B$56</f>
        <v>0</v>
      </c>
      <c r="J56" s="38">
        <f>IFERROR(s_RadSpec!$F$20*J20,".")*$B$56</f>
        <v>7.3084627159137737E-12</v>
      </c>
      <c r="K56" s="47">
        <f t="shared" si="56"/>
        <v>0</v>
      </c>
      <c r="L56" s="47">
        <f t="shared" si="56"/>
        <v>0</v>
      </c>
      <c r="M56" s="47">
        <f t="shared" si="56"/>
        <v>7.3084627159137737E-12</v>
      </c>
      <c r="N56" s="47">
        <f t="shared" si="57"/>
        <v>7.3084627159137737E-12</v>
      </c>
      <c r="O56" s="30">
        <f>IFERROR(O20/$B56,0)</f>
        <v>0</v>
      </c>
      <c r="P56" s="30">
        <f>IFERROR(P20/$B56,0)</f>
        <v>0</v>
      </c>
      <c r="Q56" s="30">
        <f>IFERROR(Q20/$B56,0)</f>
        <v>6841384.0151537973</v>
      </c>
      <c r="R56" s="30">
        <f t="shared" si="58"/>
        <v>6841384.0151537973</v>
      </c>
      <c r="S56" s="38">
        <f>IFERROR(s_RadSpec!$I$20*S20,".")*$B$56</f>
        <v>0</v>
      </c>
      <c r="T56" s="38">
        <f>IFERROR(s_RadSpec!$G$20*T20,".")*$B$56</f>
        <v>0</v>
      </c>
      <c r="U56" s="38">
        <f>IFERROR(s_RadSpec!$F$20*U20,".")*$B$56</f>
        <v>7.3084627159137737E-12</v>
      </c>
      <c r="V56" s="47">
        <f t="shared" si="59"/>
        <v>0</v>
      </c>
      <c r="W56" s="47">
        <f t="shared" si="59"/>
        <v>0</v>
      </c>
      <c r="X56" s="47">
        <f t="shared" si="59"/>
        <v>7.3084627159137737E-12</v>
      </c>
      <c r="Y56" s="47">
        <f t="shared" si="60"/>
        <v>7.3084627159137737E-12</v>
      </c>
      <c r="Z56" s="30">
        <f t="shared" ref="Z56:AP56" si="72">IFERROR(Z20/$B56,0)</f>
        <v>6841384.0151537973</v>
      </c>
      <c r="AA56" s="30">
        <f t="shared" si="72"/>
        <v>68203322.361435741</v>
      </c>
      <c r="AB56" s="30">
        <f t="shared" si="72"/>
        <v>16930384.397031683</v>
      </c>
      <c r="AC56" s="30">
        <f t="shared" si="72"/>
        <v>9051052.4329258073</v>
      </c>
      <c r="AD56" s="30">
        <f t="shared" si="72"/>
        <v>119285703.53400189</v>
      </c>
      <c r="AE56" s="38">
        <f>IFERROR(s_RadSpec!$F$20*AE20,".")*$B$56</f>
        <v>7.3084627159137737E-12</v>
      </c>
      <c r="AF56" s="38">
        <f>IFERROR(s_RadSpec!$M$20*AF20,".")*$B$56</f>
        <v>7.3310211685921526E-13</v>
      </c>
      <c r="AG56" s="38">
        <f>IFERROR(s_RadSpec!$N$20*AG20,".")*$B$56</f>
        <v>2.9532702168750674E-12</v>
      </c>
      <c r="AH56" s="38">
        <f>IFERROR(s_RadSpec!$O$20*AH20,".")*$B$56</f>
        <v>5.5242194618286207E-12</v>
      </c>
      <c r="AI56" s="38">
        <f>IFERROR(s_RadSpec!$K$20*AI20,".")*$B$56</f>
        <v>4.1916171442747722E-13</v>
      </c>
      <c r="AJ56" s="47">
        <f t="shared" si="62"/>
        <v>7.3084627159137737E-12</v>
      </c>
      <c r="AK56" s="47">
        <f t="shared" si="62"/>
        <v>7.3310211685921526E-13</v>
      </c>
      <c r="AL56" s="47">
        <f t="shared" si="62"/>
        <v>2.9532702168750674E-12</v>
      </c>
      <c r="AM56" s="47">
        <f t="shared" si="62"/>
        <v>5.5242194618286207E-12</v>
      </c>
      <c r="AN56" s="47">
        <f t="shared" si="62"/>
        <v>4.1916171442747722E-13</v>
      </c>
      <c r="AO56" s="30">
        <f t="shared" si="72"/>
        <v>0</v>
      </c>
      <c r="AP56" s="30">
        <f t="shared" si="72"/>
        <v>1307877076.5577784</v>
      </c>
      <c r="AQ56" s="30">
        <f t="shared" si="63"/>
        <v>1307877076.5577784</v>
      </c>
      <c r="AR56" s="38">
        <f>IFERROR(s_RadSpec!$G$20*AR20,".")*$B$56</f>
        <v>0</v>
      </c>
      <c r="AS56" s="38">
        <f>IFERROR(s_RadSpec!$J$20*AS20,".")*$B$56</f>
        <v>3.8229892469402233E-14</v>
      </c>
      <c r="AT56" s="47">
        <f t="shared" si="64"/>
        <v>0</v>
      </c>
      <c r="AU56" s="47">
        <f t="shared" si="64"/>
        <v>3.8229892469402233E-14</v>
      </c>
      <c r="AV56" s="47">
        <f t="shared" si="65"/>
        <v>3.8229892469402233E-14</v>
      </c>
    </row>
    <row r="57" spans="1:48" x14ac:dyDescent="0.25">
      <c r="A57" s="29" t="s">
        <v>313</v>
      </c>
      <c r="B57" s="24">
        <v>2.0999995799999999E-4</v>
      </c>
      <c r="C57" s="109"/>
      <c r="D57" s="30">
        <f>IFERROR(D29/$B57,0)</f>
        <v>0</v>
      </c>
      <c r="E57" s="30">
        <f>IFERROR(E29/$B57,0)</f>
        <v>0</v>
      </c>
      <c r="F57" s="30">
        <f>IFERROR(F29/$B57,0)</f>
        <v>735618.04590246524</v>
      </c>
      <c r="G57" s="30">
        <f t="shared" si="28"/>
        <v>735618.04590246524</v>
      </c>
      <c r="H57" s="38">
        <f>IFERROR(s_RadSpec!$I$29*H29,".")*$B$57</f>
        <v>0</v>
      </c>
      <c r="I57" s="38">
        <f>IFERROR(s_RadSpec!$G$29*I29,".")*$B$57</f>
        <v>0</v>
      </c>
      <c r="J57" s="38">
        <f>IFERROR(s_RadSpec!$F$29*J29,".")*$B$57</f>
        <v>6.7970056306407479E-11</v>
      </c>
      <c r="K57" s="47">
        <f t="shared" si="56"/>
        <v>0</v>
      </c>
      <c r="L57" s="47">
        <f t="shared" si="56"/>
        <v>0</v>
      </c>
      <c r="M57" s="47">
        <f t="shared" si="56"/>
        <v>6.7970056306407479E-11</v>
      </c>
      <c r="N57" s="47">
        <f t="shared" si="57"/>
        <v>6.7970056306407479E-11</v>
      </c>
      <c r="O57" s="30">
        <f>IFERROR(O29/$B57,0)</f>
        <v>0</v>
      </c>
      <c r="P57" s="30">
        <f>IFERROR(P29/$B57,0)</f>
        <v>0</v>
      </c>
      <c r="Q57" s="30">
        <f>IFERROR(Q29/$B57,0)</f>
        <v>735618.04590246524</v>
      </c>
      <c r="R57" s="30">
        <f t="shared" si="58"/>
        <v>735618.04590246524</v>
      </c>
      <c r="S57" s="38">
        <f>IFERROR(s_RadSpec!$I$29*S29,".")*$B$57</f>
        <v>0</v>
      </c>
      <c r="T57" s="38">
        <f>IFERROR(s_RadSpec!$G$29*T29,".")*$B$57</f>
        <v>0</v>
      </c>
      <c r="U57" s="38">
        <f>IFERROR(s_RadSpec!$F$29*U29,".")*$B$57</f>
        <v>6.7970056306407479E-11</v>
      </c>
      <c r="V57" s="47">
        <f t="shared" si="59"/>
        <v>0</v>
      </c>
      <c r="W57" s="47">
        <f t="shared" si="59"/>
        <v>0</v>
      </c>
      <c r="X57" s="47">
        <f t="shared" si="59"/>
        <v>6.7970056306407479E-11</v>
      </c>
      <c r="Y57" s="47">
        <f t="shared" si="60"/>
        <v>6.7970056306407479E-11</v>
      </c>
      <c r="Z57" s="30">
        <f t="shared" ref="Z57:AP57" si="73">IFERROR(Z29/$B57,0)</f>
        <v>735618.04590246524</v>
      </c>
      <c r="AA57" s="30">
        <f t="shared" si="73"/>
        <v>7932732.9425677257</v>
      </c>
      <c r="AB57" s="30">
        <f t="shared" si="73"/>
        <v>1972744.3909221818</v>
      </c>
      <c r="AC57" s="30">
        <f t="shared" si="73"/>
        <v>1048409.5833524655</v>
      </c>
      <c r="AD57" s="30">
        <f t="shared" si="73"/>
        <v>14714858.093845017</v>
      </c>
      <c r="AE57" s="38">
        <f>IFERROR(s_RadSpec!$F$29*AE29,".")*$B$57</f>
        <v>6.7970056306407479E-11</v>
      </c>
      <c r="AF57" s="38">
        <f>IFERROR(s_RadSpec!$M$29*AF29,".")*$B$57</f>
        <v>6.3029980161938552E-12</v>
      </c>
      <c r="AG57" s="38">
        <f>IFERROR(s_RadSpec!$N$29*AG29,".")*$B$57</f>
        <v>2.5345402186963992E-11</v>
      </c>
      <c r="AH57" s="38">
        <f>IFERROR(s_RadSpec!$O$29*AH29,".")*$B$57</f>
        <v>4.7691284774521639E-11</v>
      </c>
      <c r="AI57" s="38">
        <f>IFERROR(s_RadSpec!$K$29*AI29,".")*$B$57</f>
        <v>3.3979260745242387E-12</v>
      </c>
      <c r="AJ57" s="47">
        <f t="shared" si="62"/>
        <v>6.7970056306407479E-11</v>
      </c>
      <c r="AK57" s="47">
        <f t="shared" si="62"/>
        <v>6.3029980161938552E-12</v>
      </c>
      <c r="AL57" s="47">
        <f t="shared" si="62"/>
        <v>2.5345402186963992E-11</v>
      </c>
      <c r="AM57" s="47">
        <f t="shared" si="62"/>
        <v>4.7691284774521639E-11</v>
      </c>
      <c r="AN57" s="47">
        <f t="shared" si="62"/>
        <v>3.3979260745242387E-12</v>
      </c>
      <c r="AO57" s="30">
        <f t="shared" si="73"/>
        <v>0</v>
      </c>
      <c r="AP57" s="30">
        <f t="shared" si="73"/>
        <v>179751312.34853262</v>
      </c>
      <c r="AQ57" s="30">
        <f t="shared" si="63"/>
        <v>179751312.34853262</v>
      </c>
      <c r="AR57" s="38">
        <f>IFERROR(s_RadSpec!$G$29*AR29,".")*$B$57</f>
        <v>0</v>
      </c>
      <c r="AS57" s="38">
        <f>IFERROR(s_RadSpec!$J$29*AS29,".")*$B$57</f>
        <v>2.7816208597716074E-13</v>
      </c>
      <c r="AT57" s="47">
        <f t="shared" si="64"/>
        <v>0</v>
      </c>
      <c r="AU57" s="47">
        <f t="shared" si="64"/>
        <v>2.7816208597716074E-13</v>
      </c>
      <c r="AV57" s="47">
        <f t="shared" si="65"/>
        <v>2.7816208597716074E-13</v>
      </c>
    </row>
    <row r="58" spans="1:48" x14ac:dyDescent="0.25">
      <c r="A58" s="29" t="s">
        <v>314</v>
      </c>
      <c r="B58" s="24">
        <v>1</v>
      </c>
      <c r="C58" s="109"/>
      <c r="D58" s="30">
        <f>IFERROR(D16/$B58,0)</f>
        <v>8897.7866755644536</v>
      </c>
      <c r="E58" s="30">
        <f>IFERROR(E16/$B58,0)</f>
        <v>683.38696325813362</v>
      </c>
      <c r="F58" s="30">
        <f>IFERROR(F16/$B58,0)</f>
        <v>37828829821.826385</v>
      </c>
      <c r="G58" s="30">
        <f t="shared" si="28"/>
        <v>634.64368178039456</v>
      </c>
      <c r="H58" s="38">
        <f>IFERROR(s_RadSpec!$I$16*H16,".")*$B$58</f>
        <v>5.6193750000000002E-9</v>
      </c>
      <c r="I58" s="38">
        <f>IFERROR(s_RadSpec!$G$16*I16,".")*$B$58</f>
        <v>7.3164989512850372E-8</v>
      </c>
      <c r="J58" s="38">
        <f>IFERROR(s_RadSpec!$F$16*J16,".")*$B$58</f>
        <v>1.3217432375122306E-15</v>
      </c>
      <c r="K58" s="47">
        <f t="shared" si="56"/>
        <v>5.6193750000000002E-9</v>
      </c>
      <c r="L58" s="47">
        <f t="shared" si="56"/>
        <v>7.3164989512850372E-8</v>
      </c>
      <c r="M58" s="47">
        <f t="shared" si="56"/>
        <v>1.3217432375122306E-15</v>
      </c>
      <c r="N58" s="47">
        <f t="shared" si="57"/>
        <v>7.8784365834593606E-8</v>
      </c>
      <c r="O58" s="30">
        <f>IFERROR(O16/$B58,0)</f>
        <v>8897.7866755644536</v>
      </c>
      <c r="P58" s="30">
        <f>IFERROR(P16/$B58,0)</f>
        <v>4298.091739372926</v>
      </c>
      <c r="Q58" s="30">
        <f>IFERROR(Q16/$B58,0)</f>
        <v>37828829821.826385</v>
      </c>
      <c r="R58" s="30">
        <f t="shared" si="58"/>
        <v>2898.1398036940614</v>
      </c>
      <c r="S58" s="38">
        <f>IFERROR(s_RadSpec!$I$16*S16,".")*$B$58</f>
        <v>5.6193750000000002E-9</v>
      </c>
      <c r="T58" s="38">
        <f>IFERROR(s_RadSpec!$G$16*T16,".")*$B$58</f>
        <v>1.1633069518263658E-8</v>
      </c>
      <c r="U58" s="38">
        <f>IFERROR(s_RadSpec!$F$16*U16,".")*$B$58</f>
        <v>1.3217432375122306E-15</v>
      </c>
      <c r="V58" s="47">
        <f t="shared" si="59"/>
        <v>5.6193750000000002E-9</v>
      </c>
      <c r="W58" s="47">
        <f t="shared" si="59"/>
        <v>1.1633069518263658E-8</v>
      </c>
      <c r="X58" s="47">
        <f t="shared" si="59"/>
        <v>1.3217432375122306E-15</v>
      </c>
      <c r="Y58" s="47">
        <f t="shared" si="60"/>
        <v>1.7252445840006896E-8</v>
      </c>
      <c r="Z58" s="30">
        <f t="shared" ref="Z58:AP58" si="74">IFERROR(Z16/$B58,0)</f>
        <v>37828829821.826385</v>
      </c>
      <c r="AA58" s="30">
        <f t="shared" si="74"/>
        <v>104855694760.77385</v>
      </c>
      <c r="AB58" s="30">
        <f t="shared" si="74"/>
        <v>40924091058.07431</v>
      </c>
      <c r="AC58" s="30">
        <f t="shared" si="74"/>
        <v>40682080359.73008</v>
      </c>
      <c r="AD58" s="30">
        <f t="shared" si="74"/>
        <v>1360973949872.6172</v>
      </c>
      <c r="AE58" s="38">
        <f>IFERROR(s_RadSpec!$F$16*AE16,".")*$B$58</f>
        <v>1.3217432375122306E-15</v>
      </c>
      <c r="AF58" s="38">
        <f>IFERROR(s_RadSpec!$M$16*AF16,".")*$B$58</f>
        <v>4.7684582238546037E-16</v>
      </c>
      <c r="AG58" s="38">
        <f>IFERROR(s_RadSpec!$N$16*AG16,".")*$B$58</f>
        <v>1.2217742338869859E-15</v>
      </c>
      <c r="AH58" s="38">
        <f>IFERROR(s_RadSpec!$O$16*AH16,".")*$B$58</f>
        <v>1.2290423586472597E-15</v>
      </c>
      <c r="AI58" s="38">
        <f>IFERROR(s_RadSpec!$K$16*AI16,".")*$B$58</f>
        <v>3.6738396061643835E-17</v>
      </c>
      <c r="AJ58" s="47">
        <f t="shared" si="62"/>
        <v>1.3217432375122306E-15</v>
      </c>
      <c r="AK58" s="47">
        <f t="shared" si="62"/>
        <v>4.7684582238546037E-16</v>
      </c>
      <c r="AL58" s="47">
        <f t="shared" si="62"/>
        <v>1.2217742338869859E-15</v>
      </c>
      <c r="AM58" s="47">
        <f t="shared" si="62"/>
        <v>1.2290423586472597E-15</v>
      </c>
      <c r="AN58" s="47">
        <f t="shared" si="62"/>
        <v>3.6738396061643835E-17</v>
      </c>
      <c r="AO58" s="30">
        <f t="shared" si="74"/>
        <v>1.3440013440013441</v>
      </c>
      <c r="AP58" s="30">
        <f t="shared" si="74"/>
        <v>118731852.00669122</v>
      </c>
      <c r="AQ58" s="30">
        <f t="shared" si="63"/>
        <v>1.3440013287877381</v>
      </c>
      <c r="AR58" s="38">
        <f>IFERROR(s_RadSpec!$G$16*AR16,".")*$B$58</f>
        <v>3.7202343749999996E-5</v>
      </c>
      <c r="AS58" s="38">
        <f>IFERROR(s_RadSpec!$J$16*AS16,".")*$B$58</f>
        <v>4.2111698886986305E-13</v>
      </c>
      <c r="AT58" s="47">
        <f t="shared" si="64"/>
        <v>3.7202343749999996E-5</v>
      </c>
      <c r="AU58" s="47">
        <f t="shared" si="64"/>
        <v>4.2111698886986305E-13</v>
      </c>
      <c r="AV58" s="47">
        <f t="shared" si="65"/>
        <v>3.7202344171116988E-5</v>
      </c>
    </row>
    <row r="59" spans="1:48" x14ac:dyDescent="0.25">
      <c r="A59" s="29" t="s">
        <v>315</v>
      </c>
      <c r="B59" s="24">
        <v>1</v>
      </c>
      <c r="C59" s="109"/>
      <c r="D59" s="30">
        <f>IFERROR(D7/$B59,0)</f>
        <v>1427169.7440014272</v>
      </c>
      <c r="E59" s="30">
        <f>IFERROR(E7/$B59,0)</f>
        <v>23835.203840466613</v>
      </c>
      <c r="F59" s="30">
        <f>IFERROR(F7/$B59,0)</f>
        <v>2433858.5234948248</v>
      </c>
      <c r="G59" s="30">
        <f t="shared" si="28"/>
        <v>23220.008184364688</v>
      </c>
      <c r="H59" s="38">
        <f>IFERROR(s_RadSpec!$I$7*H7,".")*$B$59</f>
        <v>3.5034375E-11</v>
      </c>
      <c r="I59" s="38">
        <f>IFERROR(s_RadSpec!$G$7*I7,".")*$B$59</f>
        <v>2.0977374615572482E-9</v>
      </c>
      <c r="J59" s="38">
        <f>IFERROR(s_RadSpec!$F$7*J7,".")*$B$59</f>
        <v>2.0543511267123298E-11</v>
      </c>
      <c r="K59" s="47">
        <f t="shared" si="56"/>
        <v>3.5034375E-11</v>
      </c>
      <c r="L59" s="47">
        <f t="shared" si="56"/>
        <v>2.0977374615572482E-9</v>
      </c>
      <c r="M59" s="47">
        <f t="shared" si="56"/>
        <v>2.0543511267123298E-11</v>
      </c>
      <c r="N59" s="47">
        <f t="shared" si="57"/>
        <v>2.1533153478243718E-9</v>
      </c>
      <c r="O59" s="30">
        <f>IFERROR(O7/$B59,0)</f>
        <v>1427169.7440014272</v>
      </c>
      <c r="P59" s="30">
        <f>IFERROR(P7/$B59,0)</f>
        <v>149909.05334886059</v>
      </c>
      <c r="Q59" s="30">
        <f>IFERROR(Q7/$B59,0)</f>
        <v>2433858.5234948248</v>
      </c>
      <c r="R59" s="30">
        <f t="shared" si="58"/>
        <v>128497.23012451324</v>
      </c>
      <c r="S59" s="38">
        <f>IFERROR(s_RadSpec!$I$7*S7,".")*$B$59</f>
        <v>3.5034375E-11</v>
      </c>
      <c r="T59" s="38">
        <f>IFERROR(s_RadSpec!$G$7*T7,".")*$B$59</f>
        <v>3.3353555961455243E-10</v>
      </c>
      <c r="U59" s="38">
        <f>IFERROR(s_RadSpec!$F$7*U7,".")*$B$59</f>
        <v>2.0543511267123298E-11</v>
      </c>
      <c r="V59" s="47">
        <f t="shared" si="59"/>
        <v>3.5034375E-11</v>
      </c>
      <c r="W59" s="47">
        <f t="shared" si="59"/>
        <v>3.3353555961455243E-10</v>
      </c>
      <c r="X59" s="47">
        <f t="shared" si="59"/>
        <v>2.0543511267123298E-11</v>
      </c>
      <c r="Y59" s="47">
        <f t="shared" si="60"/>
        <v>3.8911344588167569E-10</v>
      </c>
      <c r="Z59" s="30">
        <f t="shared" ref="Z59:AP59" si="75">IFERROR(Z7/$B59,0)</f>
        <v>2433858.5234948248</v>
      </c>
      <c r="AA59" s="30">
        <f t="shared" si="75"/>
        <v>11223785.46996581</v>
      </c>
      <c r="AB59" s="30">
        <f t="shared" si="75"/>
        <v>3819893.878073208</v>
      </c>
      <c r="AC59" s="30">
        <f t="shared" si="75"/>
        <v>2688919.7038063756</v>
      </c>
      <c r="AD59" s="30">
        <f t="shared" si="75"/>
        <v>3802412.9434263934</v>
      </c>
      <c r="AE59" s="38">
        <f>IFERROR(s_RadSpec!$F$7*AE7,".")*$B$59</f>
        <v>2.0543511267123298E-11</v>
      </c>
      <c r="AF59" s="38">
        <f>IFERROR(s_RadSpec!$M$7*AF7,".")*$B$59</f>
        <v>4.45482499053435E-12</v>
      </c>
      <c r="AG59" s="38">
        <f>IFERROR(s_RadSpec!$N$7*AG7,".")*$B$59</f>
        <v>1.3089368866242038E-11</v>
      </c>
      <c r="AH59" s="38">
        <f>IFERROR(s_RadSpec!$O$7*AH7,".")*$B$59</f>
        <v>1.8594828223848078E-11</v>
      </c>
      <c r="AI59" s="38">
        <f>IFERROR(s_RadSpec!$K$7*AI7,".")*$B$59</f>
        <v>1.314954497155285E-11</v>
      </c>
      <c r="AJ59" s="47">
        <f t="shared" si="62"/>
        <v>2.0543511267123298E-11</v>
      </c>
      <c r="AK59" s="47">
        <f t="shared" si="62"/>
        <v>4.45482499053435E-12</v>
      </c>
      <c r="AL59" s="47">
        <f t="shared" si="62"/>
        <v>1.3089368866242038E-11</v>
      </c>
      <c r="AM59" s="47">
        <f t="shared" si="62"/>
        <v>1.8594828223848078E-11</v>
      </c>
      <c r="AN59" s="47">
        <f t="shared" si="62"/>
        <v>1.314954497155285E-11</v>
      </c>
      <c r="AO59" s="30">
        <f t="shared" si="75"/>
        <v>46.876144437120061</v>
      </c>
      <c r="AP59" s="30">
        <f t="shared" si="75"/>
        <v>88328110.653984398</v>
      </c>
      <c r="AQ59" s="30">
        <f t="shared" si="63"/>
        <v>46.876119559742577</v>
      </c>
      <c r="AR59" s="38">
        <f>IFERROR(s_RadSpec!$G$7*AR7,".")*$B$59</f>
        <v>1.066640625E-6</v>
      </c>
      <c r="AS59" s="38">
        <f>IFERROR(s_RadSpec!$J$7*AS7,".")*$B$59</f>
        <v>5.6607120462328775E-13</v>
      </c>
      <c r="AT59" s="47">
        <f t="shared" si="64"/>
        <v>1.066640625E-6</v>
      </c>
      <c r="AU59" s="47">
        <f t="shared" si="64"/>
        <v>5.6607120462328775E-13</v>
      </c>
      <c r="AV59" s="47">
        <f t="shared" si="65"/>
        <v>1.0666411910712047E-6</v>
      </c>
    </row>
    <row r="60" spans="1:48" x14ac:dyDescent="0.25">
      <c r="A60" s="29" t="s">
        <v>316</v>
      </c>
      <c r="B60" s="33">
        <v>1.9000000000000001E-8</v>
      </c>
      <c r="C60" s="109"/>
      <c r="D60" s="30">
        <f>IFERROR(D12/$B60,0)</f>
        <v>0</v>
      </c>
      <c r="E60" s="30">
        <f>IFERROR(E12/$B60,0)</f>
        <v>0</v>
      </c>
      <c r="F60" s="30">
        <f>IFERROR(F12/$B60,0)</f>
        <v>569143820235.86523</v>
      </c>
      <c r="G60" s="30">
        <f t="shared" si="28"/>
        <v>569143820235.86523</v>
      </c>
      <c r="H60" s="38">
        <f>IFERROR(s_RadSpec!$I$12*H12,".")*$B$60</f>
        <v>0</v>
      </c>
      <c r="I60" s="38">
        <f>IFERROR(s_RadSpec!$G$12*I12,".")*$B$60</f>
        <v>0</v>
      </c>
      <c r="J60" s="38">
        <f>IFERROR(s_RadSpec!$F$12*J12,".")*$B$60</f>
        <v>8.7851256962219046E-17</v>
      </c>
      <c r="K60" s="47">
        <f t="shared" si="56"/>
        <v>0</v>
      </c>
      <c r="L60" s="47">
        <f t="shared" si="56"/>
        <v>0</v>
      </c>
      <c r="M60" s="47">
        <f t="shared" si="56"/>
        <v>8.7851256962219046E-17</v>
      </c>
      <c r="N60" s="47">
        <f t="shared" si="57"/>
        <v>8.7851256962219046E-17</v>
      </c>
      <c r="O60" s="30">
        <f>IFERROR(O12/$B60,0)</f>
        <v>0</v>
      </c>
      <c r="P60" s="30">
        <f>IFERROR(P12/$B60,0)</f>
        <v>0</v>
      </c>
      <c r="Q60" s="30">
        <f>IFERROR(Q12/$B60,0)</f>
        <v>569143820235.86523</v>
      </c>
      <c r="R60" s="30">
        <f t="shared" si="58"/>
        <v>569143820235.86523</v>
      </c>
      <c r="S60" s="38">
        <f>IFERROR(s_RadSpec!$I$12*S12,".")*$B$60</f>
        <v>0</v>
      </c>
      <c r="T60" s="38">
        <f>IFERROR(s_RadSpec!$G$12*T12,".")*$B$60</f>
        <v>0</v>
      </c>
      <c r="U60" s="38">
        <f>IFERROR(s_RadSpec!$F$12*U12,".")*$B$60</f>
        <v>8.7851256962219046E-17</v>
      </c>
      <c r="V60" s="47">
        <f t="shared" si="59"/>
        <v>0</v>
      </c>
      <c r="W60" s="47">
        <f t="shared" si="59"/>
        <v>0</v>
      </c>
      <c r="X60" s="47">
        <f t="shared" si="59"/>
        <v>8.7851256962219046E-17</v>
      </c>
      <c r="Y60" s="47">
        <f t="shared" si="60"/>
        <v>8.7851256962219046E-17</v>
      </c>
      <c r="Z60" s="30">
        <f t="shared" ref="Z60:AP60" si="76">IFERROR(Z12/$B60,0)</f>
        <v>569143820235.86523</v>
      </c>
      <c r="AA60" s="30">
        <f t="shared" si="76"/>
        <v>4493275232083.7471</v>
      </c>
      <c r="AB60" s="30">
        <f t="shared" si="76"/>
        <v>1168118760894.7637</v>
      </c>
      <c r="AC60" s="30">
        <f t="shared" si="76"/>
        <v>699470109605.69592</v>
      </c>
      <c r="AD60" s="30">
        <f t="shared" si="76"/>
        <v>7625211524130.9385</v>
      </c>
      <c r="AE60" s="38">
        <f>IFERROR(s_RadSpec!$F$12*AE12,".")*$B$60</f>
        <v>8.7851256962219046E-17</v>
      </c>
      <c r="AF60" s="38">
        <f>IFERROR(s_RadSpec!$M$12*AF12,".")*$B$60</f>
        <v>1.1127740326917968E-17</v>
      </c>
      <c r="AG60" s="38">
        <f>IFERROR(s_RadSpec!$N$12*AG12,".")*$B$60</f>
        <v>4.2803866930191803E-17</v>
      </c>
      <c r="AH60" s="38">
        <f>IFERROR(s_RadSpec!$O$12*AH12,".")*$B$60</f>
        <v>7.1482682838564657E-17</v>
      </c>
      <c r="AI60" s="38">
        <f>IFERROR(s_RadSpec!$K$12*AI12,".")*$B$60</f>
        <v>6.5571951468846127E-18</v>
      </c>
      <c r="AJ60" s="47">
        <f t="shared" si="62"/>
        <v>8.7851256962219046E-17</v>
      </c>
      <c r="AK60" s="47">
        <f t="shared" si="62"/>
        <v>1.1127740326917968E-17</v>
      </c>
      <c r="AL60" s="47">
        <f t="shared" si="62"/>
        <v>4.2803866930191803E-17</v>
      </c>
      <c r="AM60" s="47">
        <f t="shared" si="62"/>
        <v>7.1482682838564657E-17</v>
      </c>
      <c r="AN60" s="47">
        <f t="shared" si="62"/>
        <v>6.5571951468846127E-18</v>
      </c>
      <c r="AO60" s="30">
        <f t="shared" si="76"/>
        <v>0</v>
      </c>
      <c r="AP60" s="30">
        <f t="shared" si="76"/>
        <v>49551249691956.586</v>
      </c>
      <c r="AQ60" s="30">
        <f t="shared" si="63"/>
        <v>49551249691956.586</v>
      </c>
      <c r="AR60" s="38">
        <f>IFERROR(s_RadSpec!$G$12*AR12,".")*$B$60</f>
        <v>0</v>
      </c>
      <c r="AS60" s="38">
        <f>IFERROR(s_RadSpec!$J$12*AS12,".")*$B$60</f>
        <v>1.0090562863869864E-18</v>
      </c>
      <c r="AT60" s="47">
        <f t="shared" si="64"/>
        <v>0</v>
      </c>
      <c r="AU60" s="47">
        <f t="shared" si="64"/>
        <v>1.0090562863869864E-18</v>
      </c>
      <c r="AV60" s="47">
        <f t="shared" si="65"/>
        <v>1.0090562863869864E-18</v>
      </c>
    </row>
    <row r="61" spans="1:48" x14ac:dyDescent="0.25">
      <c r="A61" s="29" t="s">
        <v>317</v>
      </c>
      <c r="B61" s="24">
        <v>1</v>
      </c>
      <c r="C61" s="109"/>
      <c r="D61" s="30">
        <f>IFERROR(D18/$B61,0)</f>
        <v>3715.0552614470139</v>
      </c>
      <c r="E61" s="30">
        <f>IFERROR(E18/$B61,0)</f>
        <v>747.89032458606982</v>
      </c>
      <c r="F61" s="30">
        <f>IFERROR(F18/$B61,0)</f>
        <v>58280485.388985224</v>
      </c>
      <c r="G61" s="30">
        <f t="shared" si="28"/>
        <v>622.55390576698994</v>
      </c>
      <c r="H61" s="38">
        <f>IFERROR(s_RadSpec!$I$18*H18,".")*$B$61</f>
        <v>1.3458750000000001E-8</v>
      </c>
      <c r="I61" s="38">
        <f>IFERROR(s_RadSpec!$G$18*I18,".")*$B$61</f>
        <v>6.6854722352068407E-8</v>
      </c>
      <c r="J61" s="38">
        <f>IFERROR(s_RadSpec!$F$18*J18,".")*$B$61</f>
        <v>8.5792010252285604E-13</v>
      </c>
      <c r="K61" s="47">
        <f t="shared" si="56"/>
        <v>1.3458750000000001E-8</v>
      </c>
      <c r="L61" s="47">
        <f t="shared" si="56"/>
        <v>6.6854722352068407E-8</v>
      </c>
      <c r="M61" s="47">
        <f t="shared" si="56"/>
        <v>8.5792010252285604E-13</v>
      </c>
      <c r="N61" s="47">
        <f t="shared" si="57"/>
        <v>8.0314330272170923E-8</v>
      </c>
      <c r="O61" s="30">
        <f>IFERROR(O18/$B61,0)</f>
        <v>3715.0552614470139</v>
      </c>
      <c r="P61" s="30">
        <f>IFERROR(P18/$B61,0)</f>
        <v>4703.778969874963</v>
      </c>
      <c r="Q61" s="30">
        <f>IFERROR(Q18/$B61,0)</f>
        <v>58280485.388985224</v>
      </c>
      <c r="R61" s="30">
        <f t="shared" si="58"/>
        <v>2075.6052419954931</v>
      </c>
      <c r="S61" s="38">
        <f>IFERROR(s_RadSpec!$I$18*S18,".")*$B$61</f>
        <v>1.3458750000000001E-8</v>
      </c>
      <c r="T61" s="38">
        <f>IFERROR(s_RadSpec!$G$18*T18,".")*$B$61</f>
        <v>1.0629751168203622E-8</v>
      </c>
      <c r="U61" s="38">
        <f>IFERROR(s_RadSpec!$F$18*U18,".")*$B$61</f>
        <v>8.5792010252285604E-13</v>
      </c>
      <c r="V61" s="47">
        <f t="shared" si="59"/>
        <v>1.3458750000000001E-8</v>
      </c>
      <c r="W61" s="47">
        <f t="shared" si="59"/>
        <v>1.0629751168203622E-8</v>
      </c>
      <c r="X61" s="47">
        <f t="shared" si="59"/>
        <v>8.5792010252285604E-13</v>
      </c>
      <c r="Y61" s="47">
        <f t="shared" si="60"/>
        <v>2.4089359088306149E-8</v>
      </c>
      <c r="Z61" s="30">
        <f t="shared" ref="Z61:AP61" si="77">IFERROR(Z18/$B61,0)</f>
        <v>58280485.388985224</v>
      </c>
      <c r="AA61" s="30">
        <f t="shared" si="77"/>
        <v>580813976.68057108</v>
      </c>
      <c r="AB61" s="30">
        <f t="shared" si="77"/>
        <v>143256733.5500702</v>
      </c>
      <c r="AC61" s="30">
        <f t="shared" si="77"/>
        <v>76186183.241430804</v>
      </c>
      <c r="AD61" s="30">
        <f t="shared" si="77"/>
        <v>1015636471.1104118</v>
      </c>
      <c r="AE61" s="38">
        <f>IFERROR(s_RadSpec!$F$18*AE18,".")*$B$61</f>
        <v>8.5792010252285604E-13</v>
      </c>
      <c r="AF61" s="38">
        <f>IFERROR(s_RadSpec!$M$18*AF18,".")*$B$61</f>
        <v>8.6086082648624674E-14</v>
      </c>
      <c r="AG61" s="38">
        <f>IFERROR(s_RadSpec!$N$18*AG18,".")*$B$61</f>
        <v>3.4902373355123524E-13</v>
      </c>
      <c r="AH61" s="38">
        <f>IFERROR(s_RadSpec!$O$18*AH18,".")*$B$61</f>
        <v>6.5628697846106969E-13</v>
      </c>
      <c r="AI61" s="38">
        <f>IFERROR(s_RadSpec!$K$18*AI18,".")*$B$61</f>
        <v>4.9230213193638274E-14</v>
      </c>
      <c r="AJ61" s="47">
        <f t="shared" si="62"/>
        <v>8.5792010252285604E-13</v>
      </c>
      <c r="AK61" s="47">
        <f t="shared" si="62"/>
        <v>8.6086082648624674E-14</v>
      </c>
      <c r="AL61" s="47">
        <f t="shared" si="62"/>
        <v>3.4902373355123524E-13</v>
      </c>
      <c r="AM61" s="47">
        <f t="shared" si="62"/>
        <v>6.5628697846106969E-13</v>
      </c>
      <c r="AN61" s="47">
        <f t="shared" si="62"/>
        <v>4.9230213193638274E-14</v>
      </c>
      <c r="AO61" s="30">
        <f t="shared" si="77"/>
        <v>1.4708586137157569</v>
      </c>
      <c r="AP61" s="30">
        <f t="shared" si="77"/>
        <v>11176713443.087971</v>
      </c>
      <c r="AQ61" s="30">
        <f t="shared" si="63"/>
        <v>1.4708586135221913</v>
      </c>
      <c r="AR61" s="38">
        <f>IFERROR(s_RadSpec!$G$18*AR18,".")*$B$61</f>
        <v>3.3993750000000003E-5</v>
      </c>
      <c r="AS61" s="38">
        <f>IFERROR(s_RadSpec!$J$18*AS18,".")*$B$61</f>
        <v>4.4735870034246581E-15</v>
      </c>
      <c r="AT61" s="47">
        <f t="shared" si="64"/>
        <v>3.3993750000000003E-5</v>
      </c>
      <c r="AU61" s="47">
        <f t="shared" si="64"/>
        <v>4.4735870034246581E-15</v>
      </c>
      <c r="AV61" s="47">
        <f t="shared" si="65"/>
        <v>3.3993750004473591E-5</v>
      </c>
    </row>
    <row r="62" spans="1:48" x14ac:dyDescent="0.25">
      <c r="A62" s="29" t="s">
        <v>318</v>
      </c>
      <c r="B62" s="24">
        <v>1.339E-6</v>
      </c>
      <c r="C62" s="109"/>
      <c r="D62" s="30">
        <f>IFERROR(D27/$B62,0)</f>
        <v>0</v>
      </c>
      <c r="E62" s="30">
        <f>IFERROR(E27/$B62,0)</f>
        <v>0</v>
      </c>
      <c r="F62" s="30">
        <f>IFERROR(F27/$B62,0)</f>
        <v>527191614734.60107</v>
      </c>
      <c r="G62" s="30">
        <f t="shared" ref="G62" si="78">IFERROR(SUM(D62:F62),0)</f>
        <v>527191614734.60107</v>
      </c>
      <c r="H62" s="38">
        <f>IFERROR(s_RadSpec!$I$27*H27,".")*$B$62</f>
        <v>0</v>
      </c>
      <c r="I62" s="38">
        <f>IFERROR(s_RadSpec!$G$27*I27,".")*$B$62</f>
        <v>0</v>
      </c>
      <c r="J62" s="38">
        <f>IFERROR(s_RadSpec!$F$27*J27,".")*$B$62</f>
        <v>9.4842176169989013E-17</v>
      </c>
      <c r="K62" s="47">
        <f t="shared" si="56"/>
        <v>0</v>
      </c>
      <c r="L62" s="47">
        <f t="shared" si="56"/>
        <v>0</v>
      </c>
      <c r="M62" s="47">
        <f t="shared" si="56"/>
        <v>9.4842176169989013E-17</v>
      </c>
      <c r="N62" s="47">
        <f t="shared" si="57"/>
        <v>9.4842176169989013E-17</v>
      </c>
      <c r="O62" s="30">
        <f>IFERROR(O27/$B62,0)</f>
        <v>0</v>
      </c>
      <c r="P62" s="30">
        <f>IFERROR(P27/$B62,0)</f>
        <v>0</v>
      </c>
      <c r="Q62" s="30">
        <f>IFERROR(Q27/$B62,0)</f>
        <v>527191614734.60107</v>
      </c>
      <c r="R62" s="30">
        <f t="shared" ref="R62" si="79">IFERROR(SUM(O62:Q62),0)</f>
        <v>527191614734.60107</v>
      </c>
      <c r="S62" s="38">
        <f>IFERROR(s_RadSpec!$I$27*S27,".")*$B$62</f>
        <v>0</v>
      </c>
      <c r="T62" s="38">
        <f>IFERROR(s_RadSpec!$G$27*T27,".")*$B$62</f>
        <v>0</v>
      </c>
      <c r="U62" s="38">
        <f>IFERROR(s_RadSpec!$F$27*U27,".")*$B$62</f>
        <v>9.4842176169989013E-17</v>
      </c>
      <c r="V62" s="47">
        <f t="shared" si="59"/>
        <v>0</v>
      </c>
      <c r="W62" s="47">
        <f t="shared" si="59"/>
        <v>0</v>
      </c>
      <c r="X62" s="47">
        <f t="shared" si="59"/>
        <v>9.4842176169989013E-17</v>
      </c>
      <c r="Y62" s="47">
        <f t="shared" si="60"/>
        <v>9.4842176169989013E-17</v>
      </c>
      <c r="Z62" s="30">
        <f t="shared" ref="Z62:AP62" si="80">IFERROR(Z27/$B62,0)</f>
        <v>527191614734.60107</v>
      </c>
      <c r="AA62" s="30">
        <f t="shared" si="80"/>
        <v>4604933333132.502</v>
      </c>
      <c r="AB62" s="30">
        <f t="shared" si="80"/>
        <v>1327847098517.2947</v>
      </c>
      <c r="AC62" s="30">
        <f t="shared" si="80"/>
        <v>726584739530.24622</v>
      </c>
      <c r="AD62" s="30">
        <f t="shared" si="80"/>
        <v>3485254968218.2139</v>
      </c>
      <c r="AE62" s="38">
        <f>IFERROR(s_RadSpec!$F$27*AE27,".")*$B$62</f>
        <v>9.4842176169989013E-17</v>
      </c>
      <c r="AF62" s="38">
        <f>IFERROR(s_RadSpec!$M$27*AF27,".")*$B$62</f>
        <v>1.0857920491541091E-17</v>
      </c>
      <c r="AG62" s="38">
        <f>IFERROR(s_RadSpec!$N$27*AG27,".")*$B$62</f>
        <v>3.7654937873367488E-17</v>
      </c>
      <c r="AH62" s="38">
        <f>IFERROR(s_RadSpec!$O$27*AH27,".")*$B$62</f>
        <v>6.8815097922819249E-17</v>
      </c>
      <c r="AI62" s="38">
        <f>IFERROR(s_RadSpec!$K$27*AI27,".")*$B$62</f>
        <v>1.4346152707892641E-17</v>
      </c>
      <c r="AJ62" s="47">
        <f t="shared" si="62"/>
        <v>9.4842176169989013E-17</v>
      </c>
      <c r="AK62" s="47">
        <f t="shared" si="62"/>
        <v>1.0857920491541091E-17</v>
      </c>
      <c r="AL62" s="47">
        <f t="shared" si="62"/>
        <v>3.7654937873367488E-17</v>
      </c>
      <c r="AM62" s="47">
        <f t="shared" si="62"/>
        <v>6.8815097922819249E-17</v>
      </c>
      <c r="AN62" s="47">
        <f t="shared" si="62"/>
        <v>1.4346152707892641E-17</v>
      </c>
      <c r="AO62" s="30">
        <f t="shared" si="80"/>
        <v>0</v>
      </c>
      <c r="AP62" s="30">
        <f t="shared" si="80"/>
        <v>37121087050459.398</v>
      </c>
      <c r="AQ62" s="30">
        <f t="shared" si="63"/>
        <v>37121087050459.398</v>
      </c>
      <c r="AR62" s="38">
        <f>IFERROR(s_RadSpec!$G$27*AR27,".")*$B$62</f>
        <v>0</v>
      </c>
      <c r="AS62" s="38">
        <f>IFERROR(s_RadSpec!$J$27*AS27,".")*$B$62</f>
        <v>1.3469433137029111E-18</v>
      </c>
      <c r="AT62" s="47">
        <f t="shared" si="64"/>
        <v>0</v>
      </c>
      <c r="AU62" s="47">
        <f t="shared" si="64"/>
        <v>1.3469433137029111E-18</v>
      </c>
      <c r="AV62" s="47">
        <f t="shared" si="65"/>
        <v>1.3469433137029111E-18</v>
      </c>
    </row>
    <row r="63" spans="1:48" x14ac:dyDescent="0.25">
      <c r="A63" s="26" t="s">
        <v>35</v>
      </c>
      <c r="B63" s="26" t="s">
        <v>289</v>
      </c>
      <c r="C63" s="110"/>
      <c r="D63" s="27">
        <f>1/SUM(1/D66,1/D68,1/D72,1/D73,1/D75)</f>
        <v>2615.5269219493293</v>
      </c>
      <c r="E63" s="27">
        <f>1/SUM(1/E64,1/E65,1/E66,1/E68,1/E72,1/E73,1/E75)</f>
        <v>350.05433470766184</v>
      </c>
      <c r="F63" s="27">
        <f>1/SUM(1/F64,1/F66,1/F68,1/F69,1/F70,1/F71,1/F72,1/F73,1/F74,1/F75,1/F76)</f>
        <v>247.11822181664439</v>
      </c>
      <c r="G63" s="28">
        <f>1/SUM(1/G64,1/G65,1/G66,1/G68,1/G69,1/G70,1/G71,1/G72,1/G73,1/G74,1/G75,1/G76)</f>
        <v>137.25559192160671</v>
      </c>
      <c r="H63" s="45"/>
      <c r="I63" s="45"/>
      <c r="J63" s="45"/>
      <c r="K63" s="46">
        <f>IFERROR(IF(SUM(H64:H76)&gt;0.01,1-EXP(-SUM(H64:H76)),SUM(H64:H76)),".")</f>
        <v>1.911660689874889E-8</v>
      </c>
      <c r="L63" s="46">
        <f>IFERROR(IF(SUM(I64:I76)&gt;0.01,1-EXP(-SUM(I64:I76)),SUM(I64:I76)),".")</f>
        <v>1.4283496886777915E-7</v>
      </c>
      <c r="M63" s="46">
        <f>IFERROR(IF(SUM(J64:J76)&gt;0.01,1-EXP(-SUM(J64:J76)),SUM(J64:J76)),".")</f>
        <v>2.0233230731604556E-7</v>
      </c>
      <c r="N63" s="46">
        <f>IFERROR(IF(SUM(H64:J76)&gt;0.01,1-EXP(-SUM(H64:J76)),SUM(H64:J76)),".")</f>
        <v>3.6428388308257357E-7</v>
      </c>
      <c r="O63" s="27">
        <f>1/SUM(1/O66,1/O68,1/O72,1/O73,1/O75)</f>
        <v>2615.5269219493293</v>
      </c>
      <c r="P63" s="27">
        <f>1/SUM(1/P64,1/P65,1/P66,1/P68,1/P72,1/P73,1/P75)</f>
        <v>2201.6305917886989</v>
      </c>
      <c r="Q63" s="27">
        <f>1/SUM(1/Q64,1/Q66,1/Q68,1/Q69,1/Q70,1/Q71,1/Q72,1/Q73,1/Q74,1/Q75,1/Q76)</f>
        <v>247.11822181664439</v>
      </c>
      <c r="R63" s="28">
        <f>1/SUM(1/R64,1/R65,1/R66,1/R68,1/R69,1/R70,1/R71,1/R72,1/R73,1/R74,1/R75,1/R76)</f>
        <v>204.78428979421662</v>
      </c>
      <c r="S63" s="45"/>
      <c r="T63" s="45"/>
      <c r="U63" s="45"/>
      <c r="V63" s="46">
        <f>IFERROR(IF(SUM(S64:S76)&gt;0.01,1-EXP(-SUM(S64:S76)),SUM(S64:S76)),".")</f>
        <v>1.911660689874889E-8</v>
      </c>
      <c r="W63" s="46">
        <f>IFERROR(IF(SUM(T64:T76)&gt;0.01,1-EXP(-SUM(T64:T76)),SUM(T64:T76)),".")</f>
        <v>2.2710440246643683E-8</v>
      </c>
      <c r="X63" s="46">
        <f>IFERROR(IF(SUM(U64:U76)&gt;0.01,1-EXP(-SUM(U64:U76)),SUM(U64:U76)),".")</f>
        <v>2.0233230731604556E-7</v>
      </c>
      <c r="Y63" s="46">
        <f>IFERROR(IF(SUM(S64:U76)&gt;0.01,1-EXP(-SUM(S64:U76)),SUM(S64:U76)),".")</f>
        <v>2.4415935446143816E-7</v>
      </c>
      <c r="Z63" s="27">
        <f t="shared" ref="Z63:AD63" si="81">1/SUM(1/Z64,1/Z66,1/Z68,1/Z69,1/Z70,1/Z71,1/Z72,1/Z73,1/Z74,1/Z75,1/Z76)</f>
        <v>247.11822181664439</v>
      </c>
      <c r="AA63" s="27">
        <f t="shared" si="81"/>
        <v>2739.80374912246</v>
      </c>
      <c r="AB63" s="27">
        <f t="shared" si="81"/>
        <v>675.39208897818037</v>
      </c>
      <c r="AC63" s="27">
        <f t="shared" si="81"/>
        <v>348.77091224571626</v>
      </c>
      <c r="AD63" s="27">
        <f t="shared" si="81"/>
        <v>5026.4819413351233</v>
      </c>
      <c r="AE63" s="45"/>
      <c r="AF63" s="45"/>
      <c r="AG63" s="45"/>
      <c r="AH63" s="45"/>
      <c r="AI63" s="45"/>
      <c r="AJ63" s="46">
        <f>IFERROR(IF(SUM(AE64:AE76)&gt;0.01,1-EXP(-SUM(AE64:AE76)),SUM(AE64:AE76)),".")</f>
        <v>2.0233230731604556E-7</v>
      </c>
      <c r="AK63" s="46">
        <f t="shared" ref="AK63:AN63" si="82">IFERROR(IF(SUM(AF64:AF76)&gt;0.01,1-EXP(-SUM(AF64:AF76)),SUM(AF64:AF76)),".")</f>
        <v>1.8249482290844606E-8</v>
      </c>
      <c r="AL63" s="46">
        <f t="shared" si="82"/>
        <v>7.4031071456058092E-8</v>
      </c>
      <c r="AM63" s="46">
        <f t="shared" si="82"/>
        <v>1.4336057923538645E-7</v>
      </c>
      <c r="AN63" s="46">
        <f t="shared" si="82"/>
        <v>9.9473151567155767E-9</v>
      </c>
      <c r="AO63" s="27">
        <f>1/SUM(1/AO64,1/AO65,1/AO66,1/AO68,1/AO72,1/AO73,1/AO75)</f>
        <v>0.68844376848740574</v>
      </c>
      <c r="AP63" s="27">
        <f t="shared" ref="AP63:AQ63" si="83">1/SUM(1/AP64,1/AP65,1/AP66,1/AP67,1/AP68,1/AP69,1/AP70,1/AP71,1/AP72,1/AP73,1/AP74,1/AP75,1/AP76)</f>
        <v>60490.638608571564</v>
      </c>
      <c r="AQ63" s="28">
        <f t="shared" si="83"/>
        <v>0.68843593340020448</v>
      </c>
      <c r="AR63" s="45"/>
      <c r="AS63" s="45"/>
      <c r="AT63" s="46">
        <f>IFERROR(IF(SUM(AR64:AR76)&gt;0.01,1-EXP(-SUM(AR64:AR76)),SUM(AR64:AR76)),".")</f>
        <v>7.2627572924156245E-5</v>
      </c>
      <c r="AU63" s="46">
        <f>IFERROR(IF(SUM(AS64:AS76)&gt;0.01,1-EXP(-SUM(AS64:AS76)),SUM(AS64:AS76)),".")</f>
        <v>8.2657417990814478E-10</v>
      </c>
      <c r="AV63" s="46">
        <f>IFERROR(IF(SUM(AR64:AS76)&gt;0.01,1-EXP(-SUM(AR64:AS76)),SUM(AR64:AS76)),".")</f>
        <v>7.2628399498336156E-5</v>
      </c>
    </row>
    <row r="64" spans="1:48" x14ac:dyDescent="0.25">
      <c r="A64" s="29" t="s">
        <v>306</v>
      </c>
      <c r="B64" s="34">
        <v>1</v>
      </c>
      <c r="C64" s="2"/>
      <c r="D64" s="30">
        <f>IFERROR(D25/$B50,0)</f>
        <v>0</v>
      </c>
      <c r="E64" s="30">
        <f>IFERROR(E25/$B50,0)</f>
        <v>4757632.1349983998</v>
      </c>
      <c r="F64" s="30">
        <f>IFERROR(F25/$B50,0)</f>
        <v>2216459.444744769</v>
      </c>
      <c r="G64" s="30">
        <f t="shared" ref="G64:G76" si="84">IF(AND(D64&lt;&gt;0,E64&lt;&gt;0,F64&lt;&gt;0),1/((1/D64)+(1/E64)+(1/F64)),IF(AND(D64&lt;&gt;0,E64&lt;&gt;0,F64=0), 1/((1/D64)+(1/E64)),IF(AND(D64&lt;&gt;0,E64=0,F64&lt;&gt;0),1/((1/D64)+(1/F64)),IF(AND(D64=0,E64&lt;&gt;0,F64&lt;&gt;0),1/((1/E64)+(1/F64)),IF(AND(D64&lt;&gt;0,E64=0,F64=0),1/((1/D64)),IF(AND(D64=0,E64&lt;&gt;0,F64=0),1/((1/E64)),IF(AND(D64=0,E64=0,F64&lt;&gt;0),1/((1/F64)),IF(AND(D64=0,E64=0,F64=0),0))))))))</f>
        <v>1512039.0318457449</v>
      </c>
      <c r="H64" s="38">
        <f>IFERROR(s_RadSpec!$I$25*H25,".")*$B$64</f>
        <v>0</v>
      </c>
      <c r="I64" s="38">
        <f>IFERROR(s_RadSpec!$G$25*I25,".")*$B$64</f>
        <v>1.050942960305543E-11</v>
      </c>
      <c r="J64" s="38">
        <f>IFERROR(s_RadSpec!$F$25*J25,".")*$B$64</f>
        <v>2.2558499826626709E-11</v>
      </c>
      <c r="K64" s="47">
        <f t="shared" ref="K64:M76" si="85">IFERROR(IF(H64&gt;0.01,1-EXP(-H64),H64),".")</f>
        <v>0</v>
      </c>
      <c r="L64" s="47">
        <f t="shared" si="85"/>
        <v>1.050942960305543E-11</v>
      </c>
      <c r="M64" s="47">
        <f t="shared" si="85"/>
        <v>2.2558499826626709E-11</v>
      </c>
      <c r="N64" s="47">
        <f t="shared" ref="N64:N76" si="86">IFERROR(IF(SUM(H64:J64)&gt;0.01,1-EXP(-SUM(H64:J64)),SUM(H64:J64)),".")</f>
        <v>3.3067929429682138E-11</v>
      </c>
      <c r="O64" s="30">
        <f>IFERROR(O25/$B50,0)</f>
        <v>0</v>
      </c>
      <c r="P64" s="30">
        <f>IFERROR(P25/$B50,0)</f>
        <v>29922636.043450192</v>
      </c>
      <c r="Q64" s="30">
        <f>IFERROR(Q25/$B50,0)</f>
        <v>2216459.444744769</v>
      </c>
      <c r="R64" s="30">
        <f t="shared" ref="R64:R76" si="87">IF(AND(O64&lt;&gt;0,P64&lt;&gt;0,Q64&lt;&gt;0),1/((1/O64)+(1/P64)+(1/Q64)),IF(AND(O64&lt;&gt;0,P64&lt;&gt;0,Q64=0), 1/((1/O64)+(1/P64)),IF(AND(O64&lt;&gt;0,P64=0,Q64&lt;&gt;0),1/((1/O64)+(1/Q64)),IF(AND(O64=0,P64&lt;&gt;0,Q64&lt;&gt;0),1/((1/P64)+(1/Q64)),IF(AND(O64&lt;&gt;0,P64=0,Q64=0),1/((1/O64)),IF(AND(O64=0,P64&lt;&gt;0,Q64=0),1/((1/P64)),IF(AND(O64=0,P64=0,Q64&lt;&gt;0),1/((1/Q64)),IF(AND(O64=0,P64=0,Q64=0),0))))))))</f>
        <v>2063602.2346841197</v>
      </c>
      <c r="S64" s="38">
        <f>IFERROR(s_RadSpec!$I$25*S25,".")*$B$64</f>
        <v>0</v>
      </c>
      <c r="T64" s="38">
        <f>IFERROR(s_RadSpec!$G$25*T25,".")*$B$64</f>
        <v>1.6709757765791684E-12</v>
      </c>
      <c r="U64" s="38">
        <f>IFERROR(s_RadSpec!$F$25*U25,".")*$B$64</f>
        <v>2.2558499826626709E-11</v>
      </c>
      <c r="V64" s="47">
        <f t="shared" ref="V64:X76" si="88">IFERROR(IF(S64&gt;0.01,1-EXP(-S64),S64),".")</f>
        <v>0</v>
      </c>
      <c r="W64" s="47">
        <f t="shared" si="88"/>
        <v>1.6709757765791684E-12</v>
      </c>
      <c r="X64" s="47">
        <f t="shared" si="88"/>
        <v>2.2558499826626709E-11</v>
      </c>
      <c r="Y64" s="47">
        <f t="shared" ref="Y64:Y76" si="89">IFERROR(IF(SUM(S64:U64)&gt;0.01,1-EXP(-SUM(S64:U64)),SUM(S64:U64)),".")</f>
        <v>2.4229475603205878E-11</v>
      </c>
      <c r="Z64" s="30">
        <f t="shared" ref="Z64:AP64" si="90">IFERROR(Z25/$B50,0)</f>
        <v>2216459.444744769</v>
      </c>
      <c r="AA64" s="30">
        <f t="shared" si="90"/>
        <v>18833008.629935581</v>
      </c>
      <c r="AB64" s="30">
        <f t="shared" si="90"/>
        <v>4787055.0384824686</v>
      </c>
      <c r="AC64" s="30">
        <f t="shared" si="90"/>
        <v>2792816.8368054889</v>
      </c>
      <c r="AD64" s="30">
        <f t="shared" si="90"/>
        <v>34395805.937368035</v>
      </c>
      <c r="AE64" s="38">
        <f>IFERROR(s_RadSpec!$F$25*AE25,".")*$B$64</f>
        <v>2.2558499826626709E-11</v>
      </c>
      <c r="AF64" s="38">
        <f>IFERROR(s_RadSpec!$M$25*AF25,".")*$B$64</f>
        <v>2.6549130296963629E-12</v>
      </c>
      <c r="AG64" s="38">
        <f>IFERROR(s_RadSpec!$N$25*AG25,".")*$B$64</f>
        <v>1.0444834997311913E-11</v>
      </c>
      <c r="AH64" s="38">
        <f>IFERROR(s_RadSpec!$O$25*AH25,".")*$B$64</f>
        <v>1.7903071673397523E-11</v>
      </c>
      <c r="AI64" s="38">
        <f>IFERROR(s_RadSpec!$K$25*AI25,".")*$B$64</f>
        <v>1.4536656036217306E-12</v>
      </c>
      <c r="AJ64" s="47">
        <f t="shared" ref="AJ64:AN76" si="91">IFERROR(IF(AE64&gt;0.01,1-EXP(-AE64),AE64),".")</f>
        <v>2.2558499826626709E-11</v>
      </c>
      <c r="AK64" s="47">
        <f t="shared" si="91"/>
        <v>2.6549130296963629E-12</v>
      </c>
      <c r="AL64" s="47">
        <f t="shared" si="91"/>
        <v>1.0444834997311913E-11</v>
      </c>
      <c r="AM64" s="47">
        <f t="shared" si="91"/>
        <v>1.7903071673397523E-11</v>
      </c>
      <c r="AN64" s="47">
        <f t="shared" si="91"/>
        <v>1.4536656036217306E-12</v>
      </c>
      <c r="AO64" s="30">
        <f t="shared" si="90"/>
        <v>9356.7251461988308</v>
      </c>
      <c r="AP64" s="30">
        <f t="shared" si="90"/>
        <v>287860677.16730171</v>
      </c>
      <c r="AQ64" s="30">
        <f t="shared" ref="AQ64:AQ76" si="92">IFERROR(IF(AND(AO64&lt;&gt;0,AP64&lt;&gt;0),1/((1/AO64)+(1/AP64)),IF(AND(AO64&lt;&gt;0,AP64=0),1/((1/AO64)),IF(AND(AO64=0,AP64&lt;&gt;0),1/((1/AP64)),IF(AND(AO64=0,AP64=0),0)))),0)</f>
        <v>9356.4210217844975</v>
      </c>
      <c r="AR64" s="38">
        <f>IFERROR(s_RadSpec!$G$25*AR25,".")*$B$64</f>
        <v>5.3437500000000003E-9</v>
      </c>
      <c r="AS64" s="38">
        <f>IFERROR(s_RadSpec!$J$25*AS25,".")*$B$64</f>
        <v>1.7369513784246578E-13</v>
      </c>
      <c r="AT64" s="47">
        <f t="shared" ref="AT64:AU76" si="93">IFERROR(IF(AR64&gt;0.01,1-EXP(-AR64),AR64),".")</f>
        <v>5.3437500000000003E-9</v>
      </c>
      <c r="AU64" s="47">
        <f t="shared" si="93"/>
        <v>1.7369513784246578E-13</v>
      </c>
      <c r="AV64" s="47">
        <f t="shared" ref="AV64:AV76" si="94">IFERROR(IF(SUM(AR64:AS64)&gt;0.01,1-EXP(-SUM(AR64:AS64)),SUM(AR64:AS64)),".")</f>
        <v>5.3439236951378425E-9</v>
      </c>
    </row>
    <row r="65" spans="1:48" x14ac:dyDescent="0.25">
      <c r="A65" s="29" t="s">
        <v>307</v>
      </c>
      <c r="B65" s="34">
        <v>1</v>
      </c>
      <c r="C65" s="2"/>
      <c r="D65" s="30">
        <f>IFERROR(D21/$B51,0)</f>
        <v>0</v>
      </c>
      <c r="E65" s="30">
        <f>IFERROR(E21/$B51,0)</f>
        <v>780388.58041700383</v>
      </c>
      <c r="F65" s="30">
        <f>IFERROR(F21/$B51,0)</f>
        <v>0</v>
      </c>
      <c r="G65" s="30">
        <f t="shared" si="84"/>
        <v>780388.58041700383</v>
      </c>
      <c r="H65" s="38">
        <f>IFERROR(s_RadSpec!$I$21*H21,".")*$B$65</f>
        <v>0</v>
      </c>
      <c r="I65" s="38">
        <f>IFERROR(s_RadSpec!$G$21*I21,".")*$B$65</f>
        <v>6.4070645387048454E-11</v>
      </c>
      <c r="J65" s="38">
        <f>IFERROR(s_RadSpec!$F$21*J21,".")*$B$65</f>
        <v>0</v>
      </c>
      <c r="K65" s="47">
        <f t="shared" si="85"/>
        <v>0</v>
      </c>
      <c r="L65" s="47">
        <f t="shared" si="85"/>
        <v>6.4070645387048454E-11</v>
      </c>
      <c r="M65" s="47">
        <f t="shared" si="85"/>
        <v>0</v>
      </c>
      <c r="N65" s="47">
        <f t="shared" si="86"/>
        <v>6.4070645387048454E-11</v>
      </c>
      <c r="O65" s="30">
        <f>IFERROR(O21/$B51,0)</f>
        <v>0</v>
      </c>
      <c r="P65" s="30">
        <f>IFERROR(P21/$B51,0)</f>
        <v>4908173.3941774433</v>
      </c>
      <c r="Q65" s="30">
        <f>IFERROR(Q21/$B51,0)</f>
        <v>0</v>
      </c>
      <c r="R65" s="30">
        <f t="shared" si="87"/>
        <v>4908173.3941774433</v>
      </c>
      <c r="S65" s="38">
        <f>IFERROR(s_RadSpec!$I$21*S21,".")*$B$65</f>
        <v>0</v>
      </c>
      <c r="T65" s="38">
        <f>IFERROR(s_RadSpec!$G$21*T21,".")*$B$65</f>
        <v>1.018708916423265E-11</v>
      </c>
      <c r="U65" s="38">
        <f>IFERROR(s_RadSpec!$F$21*U21,".")*$B$65</f>
        <v>0</v>
      </c>
      <c r="V65" s="47">
        <f t="shared" si="88"/>
        <v>0</v>
      </c>
      <c r="W65" s="47">
        <f t="shared" si="88"/>
        <v>1.018708916423265E-11</v>
      </c>
      <c r="X65" s="47">
        <f t="shared" si="88"/>
        <v>0</v>
      </c>
      <c r="Y65" s="47">
        <f t="shared" si="89"/>
        <v>1.018708916423265E-11</v>
      </c>
      <c r="Z65" s="30">
        <f t="shared" ref="Z65:AP65" si="95">IFERROR(Z21/$B51,0)</f>
        <v>0</v>
      </c>
      <c r="AA65" s="30">
        <f t="shared" si="95"/>
        <v>0</v>
      </c>
      <c r="AB65" s="30">
        <f t="shared" si="95"/>
        <v>0</v>
      </c>
      <c r="AC65" s="30">
        <f t="shared" si="95"/>
        <v>0</v>
      </c>
      <c r="AD65" s="30">
        <f t="shared" si="95"/>
        <v>0</v>
      </c>
      <c r="AE65" s="38">
        <f>IFERROR(s_RadSpec!$F$21*AE21,".")*$B$65</f>
        <v>0</v>
      </c>
      <c r="AF65" s="38">
        <f>IFERROR(s_RadSpec!$M$21*AF21,".")*$B$65</f>
        <v>0</v>
      </c>
      <c r="AG65" s="38">
        <f>IFERROR(s_RadSpec!$N$21*AG21,".")*$B$65</f>
        <v>0</v>
      </c>
      <c r="AH65" s="38">
        <f>IFERROR(s_RadSpec!$O$21*AH21,".")*$B$65</f>
        <v>0</v>
      </c>
      <c r="AI65" s="38">
        <f>IFERROR(s_RadSpec!$K$21*AI21,".")*$B$65</f>
        <v>0</v>
      </c>
      <c r="AJ65" s="47">
        <f t="shared" si="91"/>
        <v>0</v>
      </c>
      <c r="AK65" s="47">
        <f t="shared" si="91"/>
        <v>0</v>
      </c>
      <c r="AL65" s="47">
        <f t="shared" si="91"/>
        <v>0</v>
      </c>
      <c r="AM65" s="47">
        <f t="shared" si="91"/>
        <v>0</v>
      </c>
      <c r="AN65" s="47">
        <f t="shared" si="91"/>
        <v>0</v>
      </c>
      <c r="AO65" s="30">
        <f t="shared" si="95"/>
        <v>1534.7721822541969</v>
      </c>
      <c r="AP65" s="30">
        <f t="shared" si="95"/>
        <v>11838057433803.236</v>
      </c>
      <c r="AQ65" s="30">
        <f t="shared" si="92"/>
        <v>1534.7721820552179</v>
      </c>
      <c r="AR65" s="38">
        <f>IFERROR(s_RadSpec!$G$21*AR21,".")*$B$65</f>
        <v>3.2578124999999999E-8</v>
      </c>
      <c r="AS65" s="38">
        <f>IFERROR(s_RadSpec!$J$21*AS21,".")*$B$65</f>
        <v>4.2236659417808223E-18</v>
      </c>
      <c r="AT65" s="47">
        <f t="shared" si="93"/>
        <v>3.2578124999999999E-8</v>
      </c>
      <c r="AU65" s="47">
        <f t="shared" si="93"/>
        <v>4.2236659417808223E-18</v>
      </c>
      <c r="AV65" s="47">
        <f t="shared" si="94"/>
        <v>3.2578125004223663E-8</v>
      </c>
    </row>
    <row r="66" spans="1:48" x14ac:dyDescent="0.25">
      <c r="A66" s="29" t="s">
        <v>308</v>
      </c>
      <c r="B66" s="35">
        <v>0.99980000000000002</v>
      </c>
      <c r="C66" s="2"/>
      <c r="D66" s="30">
        <f>IFERROR(D17/$B52,0)</f>
        <v>24190097.104008749</v>
      </c>
      <c r="E66" s="30">
        <f>IFERROR(E17/$B52,0)</f>
        <v>139634.12074688234</v>
      </c>
      <c r="F66" s="30">
        <f>IFERROR(F17/$B52,0)</f>
        <v>5191.3779840096213</v>
      </c>
      <c r="G66" s="30">
        <f t="shared" si="84"/>
        <v>5004.2537153073226</v>
      </c>
      <c r="H66" s="38">
        <f>IFERROR(s_RadSpec!$I$17*H17,".")*$B$66</f>
        <v>2.066961525E-12</v>
      </c>
      <c r="I66" s="38">
        <f>IFERROR(s_RadSpec!$G$17*I17,".")*$B$66</f>
        <v>3.5807866825498923E-10</v>
      </c>
      <c r="J66" s="38">
        <f>IFERROR(s_RadSpec!$F$17*J17,".")*$B$66</f>
        <v>9.6313541710907994E-9</v>
      </c>
      <c r="K66" s="47">
        <f t="shared" si="85"/>
        <v>2.066961525E-12</v>
      </c>
      <c r="L66" s="47">
        <f t="shared" si="85"/>
        <v>3.5807866825498923E-10</v>
      </c>
      <c r="M66" s="47">
        <f t="shared" si="85"/>
        <v>9.6313541710907994E-9</v>
      </c>
      <c r="N66" s="47">
        <f t="shared" si="86"/>
        <v>9.9914998008707884E-9</v>
      </c>
      <c r="O66" s="30">
        <f>IFERROR(O17/$B52,0)</f>
        <v>24190097.104008749</v>
      </c>
      <c r="P66" s="30">
        <f>IFERROR(P17/$B52,0)</f>
        <v>878214.38392011006</v>
      </c>
      <c r="Q66" s="30">
        <f>IFERROR(Q17/$B52,0)</f>
        <v>5191.3779840096213</v>
      </c>
      <c r="R66" s="30">
        <f t="shared" si="87"/>
        <v>5159.7697741720795</v>
      </c>
      <c r="S66" s="38">
        <f>IFERROR(s_RadSpec!$I$17*S17,".")*$B$66</f>
        <v>2.066961525E-12</v>
      </c>
      <c r="T66" s="38">
        <f>IFERROR(s_RadSpec!$G$17*T17,".")*$B$66</f>
        <v>5.6933706524839188E-11</v>
      </c>
      <c r="U66" s="38">
        <f>IFERROR(s_RadSpec!$F$17*U17,".")*$B$66</f>
        <v>9.6313541710907994E-9</v>
      </c>
      <c r="V66" s="47">
        <f t="shared" si="88"/>
        <v>2.066961525E-12</v>
      </c>
      <c r="W66" s="47">
        <f t="shared" si="88"/>
        <v>5.6933706524839188E-11</v>
      </c>
      <c r="X66" s="47">
        <f t="shared" si="88"/>
        <v>9.6313541710907994E-9</v>
      </c>
      <c r="Y66" s="47">
        <f t="shared" si="89"/>
        <v>9.6903548391406381E-9</v>
      </c>
      <c r="Z66" s="30">
        <f t="shared" ref="Z66:AP66" si="96">IFERROR(Z17/$B52,0)</f>
        <v>5191.3779840096213</v>
      </c>
      <c r="AA66" s="30">
        <f t="shared" si="96"/>
        <v>39881.915965368324</v>
      </c>
      <c r="AB66" s="30">
        <f t="shared" si="96"/>
        <v>10788.608051539102</v>
      </c>
      <c r="AC66" s="30">
        <f t="shared" si="96"/>
        <v>6490.4050876762176</v>
      </c>
      <c r="AD66" s="30">
        <f t="shared" si="96"/>
        <v>77459.440222202844</v>
      </c>
      <c r="AE66" s="38">
        <f>IFERROR(s_RadSpec!$F$17*AE17,".")*$B$66</f>
        <v>9.6313541710907994E-9</v>
      </c>
      <c r="AF66" s="38">
        <f>IFERROR(s_RadSpec!$M$17*AF17,".")*$B$66</f>
        <v>1.2537010519609384E-9</v>
      </c>
      <c r="AG66" s="38">
        <f>IFERROR(s_RadSpec!$N$17*AG17,".")*$B$66</f>
        <v>4.6345181659340207E-9</v>
      </c>
      <c r="AH66" s="38">
        <f>IFERROR(s_RadSpec!$O$17*AH17,".")*$B$66</f>
        <v>7.7036794043777784E-9</v>
      </c>
      <c r="AI66" s="38">
        <f>IFERROR(s_RadSpec!$K$17*AI17,".")*$B$66</f>
        <v>6.4549911355631111E-10</v>
      </c>
      <c r="AJ66" s="47">
        <f t="shared" si="91"/>
        <v>9.6313541710907994E-9</v>
      </c>
      <c r="AK66" s="47">
        <f t="shared" si="91"/>
        <v>1.2537010519609384E-9</v>
      </c>
      <c r="AL66" s="47">
        <f t="shared" si="91"/>
        <v>4.6345181659340207E-9</v>
      </c>
      <c r="AM66" s="47">
        <f t="shared" si="91"/>
        <v>7.7036794043777784E-9</v>
      </c>
      <c r="AN66" s="47">
        <f t="shared" si="91"/>
        <v>6.4549911355631111E-10</v>
      </c>
      <c r="AO66" s="30">
        <f t="shared" si="96"/>
        <v>274.6151975997945</v>
      </c>
      <c r="AP66" s="30">
        <f t="shared" si="96"/>
        <v>458426.55502755695</v>
      </c>
      <c r="AQ66" s="30">
        <f t="shared" si="92"/>
        <v>274.45079098466476</v>
      </c>
      <c r="AR66" s="38">
        <f>IFERROR(s_RadSpec!$G$17*AR17,".")*$B$66</f>
        <v>1.8207295312499999E-7</v>
      </c>
      <c r="AS66" s="38">
        <f>IFERROR(s_RadSpec!$J$17*AS17,".")*$B$66</f>
        <v>1.0906872529885275E-10</v>
      </c>
      <c r="AT66" s="47">
        <f t="shared" si="93"/>
        <v>1.8207295312499999E-7</v>
      </c>
      <c r="AU66" s="47">
        <f t="shared" si="93"/>
        <v>1.0906872529885275E-10</v>
      </c>
      <c r="AV66" s="47">
        <f t="shared" si="94"/>
        <v>1.8218202185029885E-7</v>
      </c>
    </row>
    <row r="67" spans="1:48" x14ac:dyDescent="0.25">
      <c r="A67" s="29" t="s">
        <v>309</v>
      </c>
      <c r="B67" s="34">
        <v>2.0000000000000001E-4</v>
      </c>
      <c r="C67" s="2"/>
      <c r="D67" s="30">
        <f>IFERROR(D5/$B53,0)</f>
        <v>0</v>
      </c>
      <c r="E67" s="30">
        <f>IFERROR(E5/$B53,0)</f>
        <v>0</v>
      </c>
      <c r="F67" s="30">
        <f>IFERROR(F5/$B53,0)</f>
        <v>0</v>
      </c>
      <c r="G67" s="30">
        <f t="shared" si="84"/>
        <v>0</v>
      </c>
      <c r="H67" s="38">
        <f>IFERROR(s_RadSpec!$I$5*H5,".")*$B$67</f>
        <v>0</v>
      </c>
      <c r="I67" s="38">
        <f>IFERROR(s_RadSpec!$G$5*I5,".")*$B$67</f>
        <v>0</v>
      </c>
      <c r="J67" s="38">
        <f>IFERROR(s_RadSpec!$F$5*J5,".")*$B$67</f>
        <v>0</v>
      </c>
      <c r="K67" s="47">
        <f t="shared" si="85"/>
        <v>0</v>
      </c>
      <c r="L67" s="47">
        <f t="shared" si="85"/>
        <v>0</v>
      </c>
      <c r="M67" s="47">
        <f t="shared" si="85"/>
        <v>0</v>
      </c>
      <c r="N67" s="47">
        <f t="shared" si="86"/>
        <v>0</v>
      </c>
      <c r="O67" s="30">
        <f>IFERROR(O5/$B53,0)</f>
        <v>0</v>
      </c>
      <c r="P67" s="30">
        <f>IFERROR(P5/$B53,0)</f>
        <v>0</v>
      </c>
      <c r="Q67" s="30">
        <f>IFERROR(Q5/$B53,0)</f>
        <v>0</v>
      </c>
      <c r="R67" s="30">
        <f t="shared" si="87"/>
        <v>0</v>
      </c>
      <c r="S67" s="38">
        <f>IFERROR(s_RadSpec!$I$5*S5,".")*$B$67</f>
        <v>0</v>
      </c>
      <c r="T67" s="38">
        <f>IFERROR(s_RadSpec!$G$5*T5,".")*$B$67</f>
        <v>0</v>
      </c>
      <c r="U67" s="38">
        <f>IFERROR(s_RadSpec!$F$5*U5,".")*$B$67</f>
        <v>0</v>
      </c>
      <c r="V67" s="47">
        <f t="shared" si="88"/>
        <v>0</v>
      </c>
      <c r="W67" s="47">
        <f t="shared" si="88"/>
        <v>0</v>
      </c>
      <c r="X67" s="47">
        <f t="shared" si="88"/>
        <v>0</v>
      </c>
      <c r="Y67" s="47">
        <f t="shared" si="89"/>
        <v>0</v>
      </c>
      <c r="Z67" s="30">
        <f t="shared" ref="Z67:AP67" si="97">IFERROR(Z5/$B53,0)</f>
        <v>0</v>
      </c>
      <c r="AA67" s="30">
        <f t="shared" si="97"/>
        <v>0</v>
      </c>
      <c r="AB67" s="30">
        <f t="shared" si="97"/>
        <v>0</v>
      </c>
      <c r="AC67" s="30">
        <f t="shared" si="97"/>
        <v>0</v>
      </c>
      <c r="AD67" s="30">
        <f t="shared" si="97"/>
        <v>0</v>
      </c>
      <c r="AE67" s="38">
        <f>IFERROR(s_RadSpec!$F$5*AE5,".")*$B$67</f>
        <v>0</v>
      </c>
      <c r="AF67" s="38">
        <f>IFERROR(s_RadSpec!$M$5*AF5,".")*$B$67</f>
        <v>0</v>
      </c>
      <c r="AG67" s="38">
        <f>IFERROR(s_RadSpec!$N$5*AG5,".")*$B$67</f>
        <v>0</v>
      </c>
      <c r="AH67" s="38">
        <f>IFERROR(s_RadSpec!$O$5*AH5,".")*$B$67</f>
        <v>0</v>
      </c>
      <c r="AI67" s="38">
        <f>IFERROR(s_RadSpec!$K$5*AI5,".")*$B$67</f>
        <v>0</v>
      </c>
      <c r="AJ67" s="47">
        <f t="shared" si="91"/>
        <v>0</v>
      </c>
      <c r="AK67" s="47">
        <f t="shared" si="91"/>
        <v>0</v>
      </c>
      <c r="AL67" s="47">
        <f t="shared" si="91"/>
        <v>0</v>
      </c>
      <c r="AM67" s="47">
        <f t="shared" si="91"/>
        <v>0</v>
      </c>
      <c r="AN67" s="47">
        <f t="shared" si="91"/>
        <v>0</v>
      </c>
      <c r="AO67" s="30">
        <f t="shared" si="97"/>
        <v>0</v>
      </c>
      <c r="AP67" s="30">
        <f t="shared" si="97"/>
        <v>75781504026997.984</v>
      </c>
      <c r="AQ67" s="30">
        <f t="shared" si="92"/>
        <v>75781504026997.984</v>
      </c>
      <c r="AR67" s="38">
        <f>IFERROR(s_RadSpec!$G$5*AR5,".")*$B$67</f>
        <v>0</v>
      </c>
      <c r="AS67" s="38">
        <f>IFERROR(s_RadSpec!$J$5*AS5,".")*$B$67</f>
        <v>6.5979160273972614E-19</v>
      </c>
      <c r="AT67" s="47">
        <f t="shared" si="93"/>
        <v>0</v>
      </c>
      <c r="AU67" s="47">
        <f t="shared" si="93"/>
        <v>6.5979160273972614E-19</v>
      </c>
      <c r="AV67" s="47">
        <f t="shared" si="94"/>
        <v>6.5979160273972614E-19</v>
      </c>
    </row>
    <row r="68" spans="1:48" x14ac:dyDescent="0.25">
      <c r="A68" s="29" t="s">
        <v>310</v>
      </c>
      <c r="B68" s="34">
        <v>0.99999979999999999</v>
      </c>
      <c r="C68" s="2"/>
      <c r="D68" s="30">
        <f>IFERROR(D9/$B54,0)</f>
        <v>36217128.887683101</v>
      </c>
      <c r="E68" s="30">
        <f>IFERROR(E9/$B54,0)</f>
        <v>175524.3274640298</v>
      </c>
      <c r="F68" s="30">
        <f>IFERROR(F9/$B54,0)</f>
        <v>259.6300509239166</v>
      </c>
      <c r="G68" s="30">
        <f t="shared" si="84"/>
        <v>259.24472584944493</v>
      </c>
      <c r="H68" s="38">
        <f>IFERROR(s_RadSpec!$I$9*H9,".")*$B$68</f>
        <v>1.3805622238875E-12</v>
      </c>
      <c r="I68" s="38">
        <f>IFERROR(s_RadSpec!$G$9*I9,".")*$B$68</f>
        <v>2.8486079805801565E-10</v>
      </c>
      <c r="J68" s="38">
        <f>IFERROR(s_RadSpec!$F$9*J9,".")*$B$68</f>
        <v>1.9258171318023693E-7</v>
      </c>
      <c r="K68" s="47">
        <f t="shared" si="85"/>
        <v>1.3805622238875E-12</v>
      </c>
      <c r="L68" s="47">
        <f t="shared" si="85"/>
        <v>2.8486079805801565E-10</v>
      </c>
      <c r="M68" s="47">
        <f t="shared" si="85"/>
        <v>1.9258171318023693E-7</v>
      </c>
      <c r="N68" s="47">
        <f t="shared" si="86"/>
        <v>1.9286795454051882E-7</v>
      </c>
      <c r="O68" s="30">
        <f>IFERROR(O9/$B54,0)</f>
        <v>36217128.887683101</v>
      </c>
      <c r="P68" s="30">
        <f>IFERROR(P9/$B54,0)</f>
        <v>1103942.1330710552</v>
      </c>
      <c r="Q68" s="30">
        <f>IFERROR(Q9/$B54,0)</f>
        <v>259.6300509239166</v>
      </c>
      <c r="R68" s="30">
        <f t="shared" si="87"/>
        <v>259.56714400017285</v>
      </c>
      <c r="S68" s="38">
        <f>IFERROR(s_RadSpec!$I$9*S9,".")*$B$68</f>
        <v>1.3805622238875E-12</v>
      </c>
      <c r="T68" s="38">
        <f>IFERROR(s_RadSpec!$G$9*T9,".")*$B$68</f>
        <v>4.5292229096198243E-11</v>
      </c>
      <c r="U68" s="38">
        <f>IFERROR(s_RadSpec!$F$9*U9,".")*$B$68</f>
        <v>1.9258171318023693E-7</v>
      </c>
      <c r="V68" s="47">
        <f t="shared" si="88"/>
        <v>1.3805622238875E-12</v>
      </c>
      <c r="W68" s="47">
        <f t="shared" si="88"/>
        <v>4.5292229096198243E-11</v>
      </c>
      <c r="X68" s="47">
        <f t="shared" si="88"/>
        <v>1.9258171318023693E-7</v>
      </c>
      <c r="Y68" s="47">
        <f t="shared" si="89"/>
        <v>1.9262838597155702E-7</v>
      </c>
      <c r="Z68" s="30">
        <f t="shared" ref="Z68:AP68" si="98">IFERROR(Z9/$B54,0)</f>
        <v>259.6300509239166</v>
      </c>
      <c r="AA68" s="30">
        <f t="shared" si="98"/>
        <v>2944.3721856980505</v>
      </c>
      <c r="AB68" s="30">
        <f t="shared" si="98"/>
        <v>721.03906834702377</v>
      </c>
      <c r="AC68" s="30">
        <f t="shared" si="98"/>
        <v>368.82260286930165</v>
      </c>
      <c r="AD68" s="30">
        <f t="shared" si="98"/>
        <v>5385.9887956929606</v>
      </c>
      <c r="AE68" s="38">
        <f>IFERROR(s_RadSpec!$F$9*AE9,".")*$B$68</f>
        <v>1.9258171318023693E-7</v>
      </c>
      <c r="AF68" s="38">
        <f>IFERROR(s_RadSpec!$M$9*AF9,".")*$B$68</f>
        <v>1.6981548814674063E-8</v>
      </c>
      <c r="AG68" s="38">
        <f>IFERROR(s_RadSpec!$N$9*AG9,".")*$B$68</f>
        <v>6.934437008333627E-8</v>
      </c>
      <c r="AH68" s="38">
        <f>IFERROR(s_RadSpec!$O$9*AH9,".")*$B$68</f>
        <v>1.3556652876211694E-7</v>
      </c>
      <c r="AI68" s="38">
        <f>IFERROR(s_RadSpec!$K$9*AI9,".")*$B$68</f>
        <v>9.2833464562688577E-9</v>
      </c>
      <c r="AJ68" s="47">
        <f t="shared" si="91"/>
        <v>1.9258171318023693E-7</v>
      </c>
      <c r="AK68" s="47">
        <f t="shared" si="91"/>
        <v>1.6981548814674063E-8</v>
      </c>
      <c r="AL68" s="47">
        <f t="shared" si="91"/>
        <v>6.934437008333627E-8</v>
      </c>
      <c r="AM68" s="47">
        <f t="shared" si="91"/>
        <v>1.3556652876211694E-7</v>
      </c>
      <c r="AN68" s="47">
        <f t="shared" si="91"/>
        <v>9.2833464562688577E-9</v>
      </c>
      <c r="AO68" s="30">
        <f t="shared" si="98"/>
        <v>345.19963754046688</v>
      </c>
      <c r="AP68" s="30">
        <f t="shared" si="98"/>
        <v>69830.090975189116</v>
      </c>
      <c r="AQ68" s="30">
        <f t="shared" si="92"/>
        <v>343.50156420557067</v>
      </c>
      <c r="AR68" s="38">
        <f>IFERROR(s_RadSpec!$G$9*AR9,".")*$B$68</f>
        <v>1.4484372103125E-7</v>
      </c>
      <c r="AS68" s="38">
        <f>IFERROR(s_RadSpec!$J$9*AS9,".")*$B$68</f>
        <v>7.1602369840482077E-10</v>
      </c>
      <c r="AT68" s="47">
        <f t="shared" si="93"/>
        <v>1.4484372103125E-7</v>
      </c>
      <c r="AU68" s="47">
        <f t="shared" si="93"/>
        <v>7.1602369840482077E-10</v>
      </c>
      <c r="AV68" s="47">
        <f t="shared" si="94"/>
        <v>1.4555974472965481E-7</v>
      </c>
    </row>
    <row r="69" spans="1:48" x14ac:dyDescent="0.25">
      <c r="A69" s="29" t="s">
        <v>311</v>
      </c>
      <c r="B69" s="34">
        <v>1.9999999999999999E-7</v>
      </c>
      <c r="C69" s="2"/>
      <c r="D69" s="30">
        <f>IFERROR(D24/$B55,0)</f>
        <v>0</v>
      </c>
      <c r="E69" s="30">
        <f>IFERROR(E24/$B55,0)</f>
        <v>0</v>
      </c>
      <c r="F69" s="30">
        <f>IFERROR(F24/$B55,0)</f>
        <v>4968906622792.8906</v>
      </c>
      <c r="G69" s="30">
        <f t="shared" si="84"/>
        <v>4968906622792.8906</v>
      </c>
      <c r="H69" s="38">
        <f>IFERROR(s_RadSpec!$I$24*H24,".")*$B$69</f>
        <v>0</v>
      </c>
      <c r="I69" s="38">
        <f>IFERROR(s_RadSpec!$G$24*I24,".")*$B$69</f>
        <v>0</v>
      </c>
      <c r="J69" s="38">
        <f>IFERROR(s_RadSpec!$F$24*J24,".")*$B$69</f>
        <v>1.0062575893586895E-17</v>
      </c>
      <c r="K69" s="47">
        <f t="shared" si="85"/>
        <v>0</v>
      </c>
      <c r="L69" s="47">
        <f t="shared" si="85"/>
        <v>0</v>
      </c>
      <c r="M69" s="47">
        <f t="shared" si="85"/>
        <v>1.0062575893586895E-17</v>
      </c>
      <c r="N69" s="47">
        <f t="shared" si="86"/>
        <v>1.0062575893586895E-17</v>
      </c>
      <c r="O69" s="30">
        <f>IFERROR(O24/$B55,0)</f>
        <v>0</v>
      </c>
      <c r="P69" s="30">
        <f>IFERROR(P24/$B55,0)</f>
        <v>0</v>
      </c>
      <c r="Q69" s="30">
        <f>IFERROR(Q24/$B55,0)</f>
        <v>4968906622792.8906</v>
      </c>
      <c r="R69" s="30">
        <f t="shared" si="87"/>
        <v>4968906622792.8906</v>
      </c>
      <c r="S69" s="38">
        <f>IFERROR(s_RadSpec!$I$24*S24,".")*$B$69</f>
        <v>0</v>
      </c>
      <c r="T69" s="38">
        <f>IFERROR(s_RadSpec!$G$24*T24,".")*$B$69</f>
        <v>0</v>
      </c>
      <c r="U69" s="38">
        <f>IFERROR(s_RadSpec!$F$24*U24,".")*$B$69</f>
        <v>1.0062575893586895E-17</v>
      </c>
      <c r="V69" s="47">
        <f t="shared" si="88"/>
        <v>0</v>
      </c>
      <c r="W69" s="47">
        <f t="shared" si="88"/>
        <v>0</v>
      </c>
      <c r="X69" s="47">
        <f t="shared" si="88"/>
        <v>1.0062575893586895E-17</v>
      </c>
      <c r="Y69" s="47">
        <f t="shared" si="89"/>
        <v>1.0062575893586895E-17</v>
      </c>
      <c r="Z69" s="30">
        <f t="shared" ref="Z69:AP69" si="99">IFERROR(Z24/$B55,0)</f>
        <v>4968906622792.8906</v>
      </c>
      <c r="AA69" s="30">
        <f t="shared" si="99"/>
        <v>43775529434168.063</v>
      </c>
      <c r="AB69" s="30">
        <f t="shared" si="99"/>
        <v>10979824257602.219</v>
      </c>
      <c r="AC69" s="30">
        <f t="shared" si="99"/>
        <v>5924497483809.749</v>
      </c>
      <c r="AD69" s="30">
        <f t="shared" si="99"/>
        <v>74477364521660.875</v>
      </c>
      <c r="AE69" s="38">
        <f>IFERROR(s_RadSpec!$F$24*AE24,".")*$B$69</f>
        <v>1.0062575893586895E-17</v>
      </c>
      <c r="AF69" s="38">
        <f>IFERROR(s_RadSpec!$M$24*AF24,".")*$B$69</f>
        <v>1.1421906404397148E-18</v>
      </c>
      <c r="AG69" s="38">
        <f>IFERROR(s_RadSpec!$N$24*AG24,".")*$B$69</f>
        <v>4.5538069487206015E-18</v>
      </c>
      <c r="AH69" s="38">
        <f>IFERROR(s_RadSpec!$O$24*AH24,".")*$B$69</f>
        <v>8.4395343464383576E-18</v>
      </c>
      <c r="AI69" s="38">
        <f>IFERROR(s_RadSpec!$K$24*AI24,".")*$B$69</f>
        <v>6.7134491561470467E-19</v>
      </c>
      <c r="AJ69" s="47">
        <f t="shared" si="91"/>
        <v>1.0062575893586895E-17</v>
      </c>
      <c r="AK69" s="47">
        <f t="shared" si="91"/>
        <v>1.1421906404397148E-18</v>
      </c>
      <c r="AL69" s="47">
        <f t="shared" si="91"/>
        <v>4.5538069487206015E-18</v>
      </c>
      <c r="AM69" s="47">
        <f t="shared" si="91"/>
        <v>8.4395343464383576E-18</v>
      </c>
      <c r="AN69" s="47">
        <f t="shared" si="91"/>
        <v>6.7134491561470467E-19</v>
      </c>
      <c r="AO69" s="30">
        <f t="shared" si="99"/>
        <v>0</v>
      </c>
      <c r="AP69" s="30">
        <f t="shared" si="99"/>
        <v>732832126854486</v>
      </c>
      <c r="AQ69" s="30">
        <f t="shared" si="92"/>
        <v>732832126854486</v>
      </c>
      <c r="AR69" s="38">
        <f>IFERROR(s_RadSpec!$G$24*AR24,".")*$B$69</f>
        <v>0</v>
      </c>
      <c r="AS69" s="38">
        <f>IFERROR(s_RadSpec!$J$24*AS24,".")*$B$69</f>
        <v>6.8228449828767122E-20</v>
      </c>
      <c r="AT69" s="47">
        <f t="shared" si="93"/>
        <v>0</v>
      </c>
      <c r="AU69" s="47">
        <f t="shared" si="93"/>
        <v>6.8228449828767122E-20</v>
      </c>
      <c r="AV69" s="47">
        <f t="shared" si="94"/>
        <v>6.8228449828767122E-20</v>
      </c>
    </row>
    <row r="70" spans="1:48" x14ac:dyDescent="0.25">
      <c r="A70" s="29" t="s">
        <v>312</v>
      </c>
      <c r="B70" s="34">
        <v>0.99979000004200003</v>
      </c>
      <c r="C70" s="2"/>
      <c r="D70" s="30">
        <f>IFERROR(D20/$B56,0)</f>
        <v>0</v>
      </c>
      <c r="E70" s="30">
        <f>IFERROR(E20/$B56,0)</f>
        <v>0</v>
      </c>
      <c r="F70" s="30">
        <f>IFERROR(F20/$B56,0)</f>
        <v>6841384.0151537973</v>
      </c>
      <c r="G70" s="30">
        <f t="shared" si="84"/>
        <v>6841384.0151537973</v>
      </c>
      <c r="H70" s="38">
        <f>IFERROR(s_RadSpec!$I$20*H20,".")*$B$70</f>
        <v>0</v>
      </c>
      <c r="I70" s="38">
        <f>IFERROR(s_RadSpec!$G$20*I20,".")*$B$70</f>
        <v>0</v>
      </c>
      <c r="J70" s="38">
        <f>IFERROR(s_RadSpec!$F$20*J20,".")*$B$70</f>
        <v>7.3084627159137737E-12</v>
      </c>
      <c r="K70" s="47">
        <f t="shared" si="85"/>
        <v>0</v>
      </c>
      <c r="L70" s="47">
        <f t="shared" si="85"/>
        <v>0</v>
      </c>
      <c r="M70" s="47">
        <f t="shared" si="85"/>
        <v>7.3084627159137737E-12</v>
      </c>
      <c r="N70" s="47">
        <f t="shared" si="86"/>
        <v>7.3084627159137737E-12</v>
      </c>
      <c r="O70" s="30">
        <f>IFERROR(O20/$B56,0)</f>
        <v>0</v>
      </c>
      <c r="P70" s="30">
        <f>IFERROR(P20/$B56,0)</f>
        <v>0</v>
      </c>
      <c r="Q70" s="30">
        <f>IFERROR(Q20/$B56,0)</f>
        <v>6841384.0151537973</v>
      </c>
      <c r="R70" s="30">
        <f t="shared" si="87"/>
        <v>6841384.0151537973</v>
      </c>
      <c r="S70" s="38">
        <f>IFERROR(s_RadSpec!$I$20*S20,".")*$B$70</f>
        <v>0</v>
      </c>
      <c r="T70" s="38">
        <f>IFERROR(s_RadSpec!$G$20*T20,".")*$B$70</f>
        <v>0</v>
      </c>
      <c r="U70" s="38">
        <f>IFERROR(s_RadSpec!$F$20*U20,".")*$B$70</f>
        <v>7.3084627159137737E-12</v>
      </c>
      <c r="V70" s="47">
        <f t="shared" si="88"/>
        <v>0</v>
      </c>
      <c r="W70" s="47">
        <f t="shared" si="88"/>
        <v>0</v>
      </c>
      <c r="X70" s="47">
        <f t="shared" si="88"/>
        <v>7.3084627159137737E-12</v>
      </c>
      <c r="Y70" s="47">
        <f t="shared" si="89"/>
        <v>7.3084627159137737E-12</v>
      </c>
      <c r="Z70" s="30">
        <f t="shared" ref="Z70:AP70" si="100">IFERROR(Z20/$B56,0)</f>
        <v>6841384.0151537973</v>
      </c>
      <c r="AA70" s="30">
        <f t="shared" si="100"/>
        <v>68203322.361435741</v>
      </c>
      <c r="AB70" s="30">
        <f t="shared" si="100"/>
        <v>16930384.397031683</v>
      </c>
      <c r="AC70" s="30">
        <f t="shared" si="100"/>
        <v>9051052.4329258073</v>
      </c>
      <c r="AD70" s="30">
        <f t="shared" si="100"/>
        <v>119285703.53400189</v>
      </c>
      <c r="AE70" s="38">
        <f>IFERROR(s_RadSpec!$F$20*AE20,".")*$B$70</f>
        <v>7.3084627159137737E-12</v>
      </c>
      <c r="AF70" s="38">
        <f>IFERROR(s_RadSpec!$M$20*AF20,".")*$B$70</f>
        <v>7.3310211685921526E-13</v>
      </c>
      <c r="AG70" s="38">
        <f>IFERROR(s_RadSpec!$N$20*AG20,".")*$B$70</f>
        <v>2.9532702168750674E-12</v>
      </c>
      <c r="AH70" s="38">
        <f>IFERROR(s_RadSpec!$O$20*AH20,".")*$B$70</f>
        <v>5.5242194618286207E-12</v>
      </c>
      <c r="AI70" s="38">
        <f>IFERROR(s_RadSpec!$K$20*AI20,".")*$B$70</f>
        <v>4.1916171442747722E-13</v>
      </c>
      <c r="AJ70" s="47">
        <f t="shared" si="91"/>
        <v>7.3084627159137737E-12</v>
      </c>
      <c r="AK70" s="47">
        <f t="shared" si="91"/>
        <v>7.3310211685921526E-13</v>
      </c>
      <c r="AL70" s="47">
        <f t="shared" si="91"/>
        <v>2.9532702168750674E-12</v>
      </c>
      <c r="AM70" s="47">
        <f t="shared" si="91"/>
        <v>5.5242194618286207E-12</v>
      </c>
      <c r="AN70" s="47">
        <f t="shared" si="91"/>
        <v>4.1916171442747722E-13</v>
      </c>
      <c r="AO70" s="30">
        <f t="shared" si="100"/>
        <v>0</v>
      </c>
      <c r="AP70" s="30">
        <f t="shared" si="100"/>
        <v>1307877076.5577784</v>
      </c>
      <c r="AQ70" s="30">
        <f t="shared" si="92"/>
        <v>1307877076.5577784</v>
      </c>
      <c r="AR70" s="38">
        <f>IFERROR(s_RadSpec!$G$20*AR20,".")*$B$70</f>
        <v>0</v>
      </c>
      <c r="AS70" s="38">
        <f>IFERROR(s_RadSpec!$J$20*AS20,".")*$B$70</f>
        <v>3.8229892469402233E-14</v>
      </c>
      <c r="AT70" s="47">
        <f t="shared" si="93"/>
        <v>0</v>
      </c>
      <c r="AU70" s="47">
        <f t="shared" si="93"/>
        <v>3.8229892469402233E-14</v>
      </c>
      <c r="AV70" s="47">
        <f t="shared" si="94"/>
        <v>3.8229892469402233E-14</v>
      </c>
    </row>
    <row r="71" spans="1:48" x14ac:dyDescent="0.25">
      <c r="A71" s="29" t="s">
        <v>313</v>
      </c>
      <c r="B71" s="34">
        <v>2.0999995799999999E-4</v>
      </c>
      <c r="C71" s="2"/>
      <c r="D71" s="30">
        <f>IFERROR(D29/$B57,0)</f>
        <v>0</v>
      </c>
      <c r="E71" s="30">
        <f>IFERROR(E29/$B57,0)</f>
        <v>0</v>
      </c>
      <c r="F71" s="30">
        <f>IFERROR(F29/$B57,0)</f>
        <v>735618.04590246524</v>
      </c>
      <c r="G71" s="30">
        <f t="shared" si="84"/>
        <v>735618.04590246524</v>
      </c>
      <c r="H71" s="38">
        <f>IFERROR(s_RadSpec!$I$29*H29,".")*$B$71</f>
        <v>0</v>
      </c>
      <c r="I71" s="38">
        <f>IFERROR(s_RadSpec!$G$29*I29,".")*$B$71</f>
        <v>0</v>
      </c>
      <c r="J71" s="38">
        <f>IFERROR(s_RadSpec!$F$29*J29,".")*$B$71</f>
        <v>6.7970056306407479E-11</v>
      </c>
      <c r="K71" s="47">
        <f t="shared" si="85"/>
        <v>0</v>
      </c>
      <c r="L71" s="47">
        <f t="shared" si="85"/>
        <v>0</v>
      </c>
      <c r="M71" s="47">
        <f t="shared" si="85"/>
        <v>6.7970056306407479E-11</v>
      </c>
      <c r="N71" s="47">
        <f t="shared" si="86"/>
        <v>6.7970056306407479E-11</v>
      </c>
      <c r="O71" s="30">
        <f>IFERROR(O29/$B57,0)</f>
        <v>0</v>
      </c>
      <c r="P71" s="30">
        <f>IFERROR(P29/$B57,0)</f>
        <v>0</v>
      </c>
      <c r="Q71" s="30">
        <f>IFERROR(Q29/$B57,0)</f>
        <v>735618.04590246524</v>
      </c>
      <c r="R71" s="30">
        <f t="shared" si="87"/>
        <v>735618.04590246524</v>
      </c>
      <c r="S71" s="38">
        <f>IFERROR(s_RadSpec!$I$29*S29,".")*$B$71</f>
        <v>0</v>
      </c>
      <c r="T71" s="38">
        <f>IFERROR(s_RadSpec!$G$29*T29,".")*$B$71</f>
        <v>0</v>
      </c>
      <c r="U71" s="38">
        <f>IFERROR(s_RadSpec!$F$29*U29,".")*$B$71</f>
        <v>6.7970056306407479E-11</v>
      </c>
      <c r="V71" s="47">
        <f t="shared" si="88"/>
        <v>0</v>
      </c>
      <c r="W71" s="47">
        <f t="shared" si="88"/>
        <v>0</v>
      </c>
      <c r="X71" s="47">
        <f t="shared" si="88"/>
        <v>6.7970056306407479E-11</v>
      </c>
      <c r="Y71" s="47">
        <f t="shared" si="89"/>
        <v>6.7970056306407479E-11</v>
      </c>
      <c r="Z71" s="30">
        <f t="shared" ref="Z71:AP71" si="101">IFERROR(Z29/$B57,0)</f>
        <v>735618.04590246524</v>
      </c>
      <c r="AA71" s="30">
        <f t="shared" si="101"/>
        <v>7932732.9425677257</v>
      </c>
      <c r="AB71" s="30">
        <f t="shared" si="101"/>
        <v>1972744.3909221818</v>
      </c>
      <c r="AC71" s="30">
        <f t="shared" si="101"/>
        <v>1048409.5833524655</v>
      </c>
      <c r="AD71" s="30">
        <f t="shared" si="101"/>
        <v>14714858.093845017</v>
      </c>
      <c r="AE71" s="38">
        <f>IFERROR(s_RadSpec!$F$29*AE29,".")*$B$71</f>
        <v>6.7970056306407479E-11</v>
      </c>
      <c r="AF71" s="38">
        <f>IFERROR(s_RadSpec!$M$29*AF29,".")*$B$71</f>
        <v>6.3029980161938552E-12</v>
      </c>
      <c r="AG71" s="38">
        <f>IFERROR(s_RadSpec!$N$29*AG29,".")*$B$71</f>
        <v>2.5345402186963992E-11</v>
      </c>
      <c r="AH71" s="38">
        <f>IFERROR(s_RadSpec!$O$29*AH29,".")*$B$71</f>
        <v>4.7691284774521639E-11</v>
      </c>
      <c r="AI71" s="38">
        <f>IFERROR(s_RadSpec!$K$29*AI29,".")*$B$71</f>
        <v>3.3979260745242387E-12</v>
      </c>
      <c r="AJ71" s="47">
        <f t="shared" si="91"/>
        <v>6.7970056306407479E-11</v>
      </c>
      <c r="AK71" s="47">
        <f t="shared" si="91"/>
        <v>6.3029980161938552E-12</v>
      </c>
      <c r="AL71" s="47">
        <f t="shared" si="91"/>
        <v>2.5345402186963992E-11</v>
      </c>
      <c r="AM71" s="47">
        <f t="shared" si="91"/>
        <v>4.7691284774521639E-11</v>
      </c>
      <c r="AN71" s="47">
        <f t="shared" si="91"/>
        <v>3.3979260745242387E-12</v>
      </c>
      <c r="AO71" s="30">
        <f t="shared" si="101"/>
        <v>0</v>
      </c>
      <c r="AP71" s="30">
        <f t="shared" si="101"/>
        <v>179751312.34853262</v>
      </c>
      <c r="AQ71" s="30">
        <f t="shared" si="92"/>
        <v>179751312.34853262</v>
      </c>
      <c r="AR71" s="38">
        <f>IFERROR(s_RadSpec!$G$29*AR29,".")*$B$71</f>
        <v>0</v>
      </c>
      <c r="AS71" s="38">
        <f>IFERROR(s_RadSpec!$J$29*AS29,".")*$B$71</f>
        <v>2.7816208597716074E-13</v>
      </c>
      <c r="AT71" s="47">
        <f t="shared" si="93"/>
        <v>0</v>
      </c>
      <c r="AU71" s="47">
        <f t="shared" si="93"/>
        <v>2.7816208597716074E-13</v>
      </c>
      <c r="AV71" s="47">
        <f t="shared" si="94"/>
        <v>2.7816208597716074E-13</v>
      </c>
    </row>
    <row r="72" spans="1:48" x14ac:dyDescent="0.25">
      <c r="A72" s="29" t="s">
        <v>314</v>
      </c>
      <c r="B72" s="34">
        <v>1</v>
      </c>
      <c r="C72" s="2"/>
      <c r="D72" s="30">
        <f>IFERROR(D16/$B58,0)</f>
        <v>8897.7866755644536</v>
      </c>
      <c r="E72" s="30">
        <f>IFERROR(E16/$B58,0)</f>
        <v>683.38696325813362</v>
      </c>
      <c r="F72" s="30">
        <f>IFERROR(F16/$B58,0)</f>
        <v>37828829821.826385</v>
      </c>
      <c r="G72" s="30">
        <f t="shared" si="84"/>
        <v>634.64368178039456</v>
      </c>
      <c r="H72" s="38">
        <f>IFERROR(s_RadSpec!$I$16*H16,".")*$B$72</f>
        <v>5.6193750000000002E-9</v>
      </c>
      <c r="I72" s="38">
        <f>IFERROR(s_RadSpec!$G$16*I16,".")*$B$72</f>
        <v>7.3164989512850372E-8</v>
      </c>
      <c r="J72" s="38">
        <f>IFERROR(s_RadSpec!$F$16*J16,".")*$B$72</f>
        <v>1.3217432375122306E-15</v>
      </c>
      <c r="K72" s="47">
        <f t="shared" si="85"/>
        <v>5.6193750000000002E-9</v>
      </c>
      <c r="L72" s="47">
        <f t="shared" si="85"/>
        <v>7.3164989512850372E-8</v>
      </c>
      <c r="M72" s="47">
        <f t="shared" si="85"/>
        <v>1.3217432375122306E-15</v>
      </c>
      <c r="N72" s="47">
        <f t="shared" si="86"/>
        <v>7.8784365834593606E-8</v>
      </c>
      <c r="O72" s="30">
        <f>IFERROR(O16/$B58,0)</f>
        <v>8897.7866755644536</v>
      </c>
      <c r="P72" s="30">
        <f>IFERROR(P16/$B58,0)</f>
        <v>4298.091739372926</v>
      </c>
      <c r="Q72" s="30">
        <f>IFERROR(Q16/$B58,0)</f>
        <v>37828829821.826385</v>
      </c>
      <c r="R72" s="30">
        <f t="shared" si="87"/>
        <v>2898.1398036940614</v>
      </c>
      <c r="S72" s="38">
        <f>IFERROR(s_RadSpec!$I$16*S16,".")*$B$72</f>
        <v>5.6193750000000002E-9</v>
      </c>
      <c r="T72" s="38">
        <f>IFERROR(s_RadSpec!$G$16*T16,".")*$B$72</f>
        <v>1.1633069518263658E-8</v>
      </c>
      <c r="U72" s="38">
        <f>IFERROR(s_RadSpec!$F$16*U16,".")*$B$72</f>
        <v>1.3217432375122306E-15</v>
      </c>
      <c r="V72" s="47">
        <f t="shared" si="88"/>
        <v>5.6193750000000002E-9</v>
      </c>
      <c r="W72" s="47">
        <f t="shared" si="88"/>
        <v>1.1633069518263658E-8</v>
      </c>
      <c r="X72" s="47">
        <f t="shared" si="88"/>
        <v>1.3217432375122306E-15</v>
      </c>
      <c r="Y72" s="47">
        <f t="shared" si="89"/>
        <v>1.7252445840006896E-8</v>
      </c>
      <c r="Z72" s="30">
        <f t="shared" ref="Z72:AP72" si="102">IFERROR(Z16/$B58,0)</f>
        <v>37828829821.826385</v>
      </c>
      <c r="AA72" s="30">
        <f t="shared" si="102"/>
        <v>104855694760.77385</v>
      </c>
      <c r="AB72" s="30">
        <f t="shared" si="102"/>
        <v>40924091058.07431</v>
      </c>
      <c r="AC72" s="30">
        <f t="shared" si="102"/>
        <v>40682080359.73008</v>
      </c>
      <c r="AD72" s="30">
        <f t="shared" si="102"/>
        <v>1360973949872.6172</v>
      </c>
      <c r="AE72" s="38">
        <f>IFERROR(s_RadSpec!$F$16*AE16,".")*$B$72</f>
        <v>1.3217432375122306E-15</v>
      </c>
      <c r="AF72" s="38">
        <f>IFERROR(s_RadSpec!$M$16*AF16,".")*$B$72</f>
        <v>4.7684582238546037E-16</v>
      </c>
      <c r="AG72" s="38">
        <f>IFERROR(s_RadSpec!$N$16*AG16,".")*$B$72</f>
        <v>1.2217742338869859E-15</v>
      </c>
      <c r="AH72" s="38">
        <f>IFERROR(s_RadSpec!$O$16*AH16,".")*$B$72</f>
        <v>1.2290423586472597E-15</v>
      </c>
      <c r="AI72" s="38">
        <f>IFERROR(s_RadSpec!$K$16*AI16,".")*$B$72</f>
        <v>3.6738396061643835E-17</v>
      </c>
      <c r="AJ72" s="47">
        <f t="shared" si="91"/>
        <v>1.3217432375122306E-15</v>
      </c>
      <c r="AK72" s="47">
        <f t="shared" si="91"/>
        <v>4.7684582238546037E-16</v>
      </c>
      <c r="AL72" s="47">
        <f t="shared" si="91"/>
        <v>1.2217742338869859E-15</v>
      </c>
      <c r="AM72" s="47">
        <f t="shared" si="91"/>
        <v>1.2290423586472597E-15</v>
      </c>
      <c r="AN72" s="47">
        <f t="shared" si="91"/>
        <v>3.6738396061643835E-17</v>
      </c>
      <c r="AO72" s="30">
        <f t="shared" si="102"/>
        <v>1.3440013440013441</v>
      </c>
      <c r="AP72" s="30">
        <f t="shared" si="102"/>
        <v>118731852.00669122</v>
      </c>
      <c r="AQ72" s="30">
        <f t="shared" si="92"/>
        <v>1.3440013287877381</v>
      </c>
      <c r="AR72" s="38">
        <f>IFERROR(s_RadSpec!$G$16*AR16,".")*$B$72</f>
        <v>3.7202343749999996E-5</v>
      </c>
      <c r="AS72" s="38">
        <f>IFERROR(s_RadSpec!$J$16*AS16,".")*$B$72</f>
        <v>4.2111698886986305E-13</v>
      </c>
      <c r="AT72" s="47">
        <f t="shared" si="93"/>
        <v>3.7202343749999996E-5</v>
      </c>
      <c r="AU72" s="47">
        <f t="shared" si="93"/>
        <v>4.2111698886986305E-13</v>
      </c>
      <c r="AV72" s="47">
        <f t="shared" si="94"/>
        <v>3.7202344171116988E-5</v>
      </c>
    </row>
    <row r="73" spans="1:48" x14ac:dyDescent="0.25">
      <c r="A73" s="29" t="s">
        <v>315</v>
      </c>
      <c r="B73" s="34">
        <v>1</v>
      </c>
      <c r="C73" s="2"/>
      <c r="D73" s="30">
        <f>IFERROR(D7/$B59,0)</f>
        <v>1427169.7440014272</v>
      </c>
      <c r="E73" s="30">
        <f>IFERROR(E7/$B59,0)</f>
        <v>23835.203840466613</v>
      </c>
      <c r="F73" s="30">
        <f>IFERROR(F7/$B59,0)</f>
        <v>2433858.5234948248</v>
      </c>
      <c r="G73" s="30">
        <f t="shared" si="84"/>
        <v>23220.008184364688</v>
      </c>
      <c r="H73" s="38">
        <f>IFERROR(s_RadSpec!$I$7*H7,".")*$B$73</f>
        <v>3.5034375E-11</v>
      </c>
      <c r="I73" s="38">
        <f>IFERROR(s_RadSpec!$G$7*I7,".")*$B$73</f>
        <v>2.0977374615572482E-9</v>
      </c>
      <c r="J73" s="38">
        <f>IFERROR(s_RadSpec!$F$7*J7,".")*$B$73</f>
        <v>2.0543511267123298E-11</v>
      </c>
      <c r="K73" s="47">
        <f t="shared" si="85"/>
        <v>3.5034375E-11</v>
      </c>
      <c r="L73" s="47">
        <f t="shared" si="85"/>
        <v>2.0977374615572482E-9</v>
      </c>
      <c r="M73" s="47">
        <f t="shared" si="85"/>
        <v>2.0543511267123298E-11</v>
      </c>
      <c r="N73" s="47">
        <f t="shared" si="86"/>
        <v>2.1533153478243718E-9</v>
      </c>
      <c r="O73" s="30">
        <f>IFERROR(O7/$B59,0)</f>
        <v>1427169.7440014272</v>
      </c>
      <c r="P73" s="30">
        <f>IFERROR(P7/$B59,0)</f>
        <v>149909.05334886059</v>
      </c>
      <c r="Q73" s="30">
        <f>IFERROR(Q7/$B59,0)</f>
        <v>2433858.5234948248</v>
      </c>
      <c r="R73" s="30">
        <f t="shared" si="87"/>
        <v>128497.23012451324</v>
      </c>
      <c r="S73" s="38">
        <f>IFERROR(s_RadSpec!$I$7*S7,".")*$B$73</f>
        <v>3.5034375E-11</v>
      </c>
      <c r="T73" s="38">
        <f>IFERROR(s_RadSpec!$G$7*T7,".")*$B$73</f>
        <v>3.3353555961455243E-10</v>
      </c>
      <c r="U73" s="38">
        <f>IFERROR(s_RadSpec!$F$7*U7,".")*$B$73</f>
        <v>2.0543511267123298E-11</v>
      </c>
      <c r="V73" s="47">
        <f t="shared" si="88"/>
        <v>3.5034375E-11</v>
      </c>
      <c r="W73" s="47">
        <f t="shared" si="88"/>
        <v>3.3353555961455243E-10</v>
      </c>
      <c r="X73" s="47">
        <f t="shared" si="88"/>
        <v>2.0543511267123298E-11</v>
      </c>
      <c r="Y73" s="47">
        <f t="shared" si="89"/>
        <v>3.8911344588167569E-10</v>
      </c>
      <c r="Z73" s="30">
        <f t="shared" ref="Z73:AP73" si="103">IFERROR(Z7/$B59,0)</f>
        <v>2433858.5234948248</v>
      </c>
      <c r="AA73" s="30">
        <f t="shared" si="103"/>
        <v>11223785.46996581</v>
      </c>
      <c r="AB73" s="30">
        <f t="shared" si="103"/>
        <v>3819893.878073208</v>
      </c>
      <c r="AC73" s="30">
        <f t="shared" si="103"/>
        <v>2688919.7038063756</v>
      </c>
      <c r="AD73" s="30">
        <f t="shared" si="103"/>
        <v>3802412.9434263934</v>
      </c>
      <c r="AE73" s="38">
        <f>IFERROR(s_RadSpec!$F$7*AE7,".")*$B$73</f>
        <v>2.0543511267123298E-11</v>
      </c>
      <c r="AF73" s="38">
        <f>IFERROR(s_RadSpec!$M$7*AF7,".")*$B$73</f>
        <v>4.45482499053435E-12</v>
      </c>
      <c r="AG73" s="38">
        <f>IFERROR(s_RadSpec!$N$7*AG7,".")*$B$73</f>
        <v>1.3089368866242038E-11</v>
      </c>
      <c r="AH73" s="38">
        <f>IFERROR(s_RadSpec!$O$7*AH7,".")*$B$73</f>
        <v>1.8594828223848078E-11</v>
      </c>
      <c r="AI73" s="38">
        <f>IFERROR(s_RadSpec!$K$7*AI7,".")*$B$73</f>
        <v>1.314954497155285E-11</v>
      </c>
      <c r="AJ73" s="47">
        <f t="shared" si="91"/>
        <v>2.0543511267123298E-11</v>
      </c>
      <c r="AK73" s="47">
        <f t="shared" si="91"/>
        <v>4.45482499053435E-12</v>
      </c>
      <c r="AL73" s="47">
        <f t="shared" si="91"/>
        <v>1.3089368866242038E-11</v>
      </c>
      <c r="AM73" s="47">
        <f t="shared" si="91"/>
        <v>1.8594828223848078E-11</v>
      </c>
      <c r="AN73" s="47">
        <f t="shared" si="91"/>
        <v>1.314954497155285E-11</v>
      </c>
      <c r="AO73" s="30">
        <f t="shared" si="103"/>
        <v>46.876144437120061</v>
      </c>
      <c r="AP73" s="30">
        <f t="shared" si="103"/>
        <v>88328110.653984398</v>
      </c>
      <c r="AQ73" s="30">
        <f t="shared" si="92"/>
        <v>46.876119559742577</v>
      </c>
      <c r="AR73" s="38">
        <f>IFERROR(s_RadSpec!$G$7*AR7,".")*$B$73</f>
        <v>1.066640625E-6</v>
      </c>
      <c r="AS73" s="38">
        <f>IFERROR(s_RadSpec!$J$7*AS7,".")*$B$73</f>
        <v>5.6607120462328775E-13</v>
      </c>
      <c r="AT73" s="47">
        <f t="shared" si="93"/>
        <v>1.066640625E-6</v>
      </c>
      <c r="AU73" s="47">
        <f t="shared" si="93"/>
        <v>5.6607120462328775E-13</v>
      </c>
      <c r="AV73" s="47">
        <f t="shared" si="94"/>
        <v>1.0666411910712047E-6</v>
      </c>
    </row>
    <row r="74" spans="1:48" x14ac:dyDescent="0.25">
      <c r="A74" s="29" t="s">
        <v>316</v>
      </c>
      <c r="B74" s="36">
        <v>1.9000000000000001E-8</v>
      </c>
      <c r="C74" s="2"/>
      <c r="D74" s="30">
        <f>IFERROR(D12/$B60,0)</f>
        <v>0</v>
      </c>
      <c r="E74" s="30">
        <f>IFERROR(E12/$B60,0)</f>
        <v>0</v>
      </c>
      <c r="F74" s="30">
        <f>IFERROR(F12/$B60,0)</f>
        <v>569143820235.86523</v>
      </c>
      <c r="G74" s="30">
        <f t="shared" si="84"/>
        <v>569143820235.86523</v>
      </c>
      <c r="H74" s="38">
        <f>IFERROR(s_RadSpec!$I$12*H12,".")*$B$74</f>
        <v>0</v>
      </c>
      <c r="I74" s="38">
        <f>IFERROR(s_RadSpec!$G$12*I12,".")*$B$74</f>
        <v>0</v>
      </c>
      <c r="J74" s="38">
        <f>IFERROR(s_RadSpec!$F$12*J12,".")*$B$74</f>
        <v>8.7851256962219046E-17</v>
      </c>
      <c r="K74" s="47">
        <f t="shared" si="85"/>
        <v>0</v>
      </c>
      <c r="L74" s="47">
        <f t="shared" si="85"/>
        <v>0</v>
      </c>
      <c r="M74" s="47">
        <f t="shared" si="85"/>
        <v>8.7851256962219046E-17</v>
      </c>
      <c r="N74" s="47">
        <f t="shared" si="86"/>
        <v>8.7851256962219046E-17</v>
      </c>
      <c r="O74" s="30">
        <f>IFERROR(O12/$B60,0)</f>
        <v>0</v>
      </c>
      <c r="P74" s="30">
        <f>IFERROR(P12/$B60,0)</f>
        <v>0</v>
      </c>
      <c r="Q74" s="30">
        <f>IFERROR(Q12/$B60,0)</f>
        <v>569143820235.86523</v>
      </c>
      <c r="R74" s="30">
        <f t="shared" si="87"/>
        <v>569143820235.86523</v>
      </c>
      <c r="S74" s="38">
        <f>IFERROR(s_RadSpec!$I$12*S12,".")*$B$74</f>
        <v>0</v>
      </c>
      <c r="T74" s="38">
        <f>IFERROR(s_RadSpec!$G$12*T12,".")*$B$74</f>
        <v>0</v>
      </c>
      <c r="U74" s="38">
        <f>IFERROR(s_RadSpec!$F$12*U12,".")*$B$74</f>
        <v>8.7851256962219046E-17</v>
      </c>
      <c r="V74" s="47">
        <f t="shared" si="88"/>
        <v>0</v>
      </c>
      <c r="W74" s="47">
        <f t="shared" si="88"/>
        <v>0</v>
      </c>
      <c r="X74" s="47">
        <f t="shared" si="88"/>
        <v>8.7851256962219046E-17</v>
      </c>
      <c r="Y74" s="47">
        <f t="shared" si="89"/>
        <v>8.7851256962219046E-17</v>
      </c>
      <c r="Z74" s="30">
        <f t="shared" ref="Z74:AP74" si="104">IFERROR(Z12/$B60,0)</f>
        <v>569143820235.86523</v>
      </c>
      <c r="AA74" s="30">
        <f t="shared" si="104"/>
        <v>4493275232083.7471</v>
      </c>
      <c r="AB74" s="30">
        <f t="shared" si="104"/>
        <v>1168118760894.7637</v>
      </c>
      <c r="AC74" s="30">
        <f t="shared" si="104"/>
        <v>699470109605.69592</v>
      </c>
      <c r="AD74" s="30">
        <f t="shared" si="104"/>
        <v>7625211524130.9385</v>
      </c>
      <c r="AE74" s="38">
        <f>IFERROR(s_RadSpec!$F$12*AE12,".")*$B$74</f>
        <v>8.7851256962219046E-17</v>
      </c>
      <c r="AF74" s="38">
        <f>IFERROR(s_RadSpec!$M$12*AF12,".")*$B$74</f>
        <v>1.1127740326917968E-17</v>
      </c>
      <c r="AG74" s="38">
        <f>IFERROR(s_RadSpec!$N$12*AG12,".")*$B$74</f>
        <v>4.2803866930191803E-17</v>
      </c>
      <c r="AH74" s="38">
        <f>IFERROR(s_RadSpec!$O$12*AH12,".")*$B$74</f>
        <v>7.1482682838564657E-17</v>
      </c>
      <c r="AI74" s="38">
        <f>IFERROR(s_RadSpec!$K$12*AI12,".")*$B$74</f>
        <v>6.5571951468846127E-18</v>
      </c>
      <c r="AJ74" s="47">
        <f t="shared" si="91"/>
        <v>8.7851256962219046E-17</v>
      </c>
      <c r="AK74" s="47">
        <f t="shared" si="91"/>
        <v>1.1127740326917968E-17</v>
      </c>
      <c r="AL74" s="47">
        <f t="shared" si="91"/>
        <v>4.2803866930191803E-17</v>
      </c>
      <c r="AM74" s="47">
        <f t="shared" si="91"/>
        <v>7.1482682838564657E-17</v>
      </c>
      <c r="AN74" s="47">
        <f t="shared" si="91"/>
        <v>6.5571951468846127E-18</v>
      </c>
      <c r="AO74" s="30">
        <f t="shared" si="104"/>
        <v>0</v>
      </c>
      <c r="AP74" s="30">
        <f t="shared" si="104"/>
        <v>49551249691956.586</v>
      </c>
      <c r="AQ74" s="30">
        <f t="shared" si="92"/>
        <v>49551249691956.586</v>
      </c>
      <c r="AR74" s="38">
        <f>IFERROR(s_RadSpec!$G$12*AR12,".")*$B$74</f>
        <v>0</v>
      </c>
      <c r="AS74" s="38">
        <f>IFERROR(s_RadSpec!$J$12*AS12,".")*$B$74</f>
        <v>1.0090562863869864E-18</v>
      </c>
      <c r="AT74" s="47">
        <f t="shared" si="93"/>
        <v>0</v>
      </c>
      <c r="AU74" s="47">
        <f t="shared" si="93"/>
        <v>1.0090562863869864E-18</v>
      </c>
      <c r="AV74" s="47">
        <f t="shared" si="94"/>
        <v>1.0090562863869864E-18</v>
      </c>
    </row>
    <row r="75" spans="1:48" x14ac:dyDescent="0.25">
      <c r="A75" s="29" t="s">
        <v>317</v>
      </c>
      <c r="B75" s="34">
        <v>1</v>
      </c>
      <c r="C75" s="2"/>
      <c r="D75" s="30">
        <f>IFERROR(D18/$B61,0)</f>
        <v>3715.0552614470139</v>
      </c>
      <c r="E75" s="30">
        <f>IFERROR(E18/$B61,0)</f>
        <v>747.89032458606982</v>
      </c>
      <c r="F75" s="30">
        <f>IFERROR(F18/$B61,0)</f>
        <v>58280485.388985224</v>
      </c>
      <c r="G75" s="30">
        <f t="shared" si="84"/>
        <v>622.55390576698994</v>
      </c>
      <c r="H75" s="38">
        <f>IFERROR(s_RadSpec!$I$18*H18,".")*$B$75</f>
        <v>1.3458750000000001E-8</v>
      </c>
      <c r="I75" s="38">
        <f>IFERROR(s_RadSpec!$G$18*I18,".")*$B$75</f>
        <v>6.6854722352068407E-8</v>
      </c>
      <c r="J75" s="38">
        <f>IFERROR(s_RadSpec!$F$18*J18,".")*$B$75</f>
        <v>8.5792010252285604E-13</v>
      </c>
      <c r="K75" s="47">
        <f t="shared" si="85"/>
        <v>1.3458750000000001E-8</v>
      </c>
      <c r="L75" s="47">
        <f t="shared" si="85"/>
        <v>6.6854722352068407E-8</v>
      </c>
      <c r="M75" s="47">
        <f t="shared" si="85"/>
        <v>8.5792010252285604E-13</v>
      </c>
      <c r="N75" s="47">
        <f t="shared" si="86"/>
        <v>8.0314330272170923E-8</v>
      </c>
      <c r="O75" s="30">
        <f>IFERROR(O18/$B61,0)</f>
        <v>3715.0552614470139</v>
      </c>
      <c r="P75" s="30">
        <f>IFERROR(P18/$B61,0)</f>
        <v>4703.778969874963</v>
      </c>
      <c r="Q75" s="30">
        <f>IFERROR(Q18/$B61,0)</f>
        <v>58280485.388985224</v>
      </c>
      <c r="R75" s="30">
        <f t="shared" si="87"/>
        <v>2075.6052419954931</v>
      </c>
      <c r="S75" s="38">
        <f>IFERROR(s_RadSpec!$I$18*S18,".")*$B$75</f>
        <v>1.3458750000000001E-8</v>
      </c>
      <c r="T75" s="38">
        <f>IFERROR(s_RadSpec!$G$18*T18,".")*$B$75</f>
        <v>1.0629751168203622E-8</v>
      </c>
      <c r="U75" s="38">
        <f>IFERROR(s_RadSpec!$F$18*U18,".")*$B$75</f>
        <v>8.5792010252285604E-13</v>
      </c>
      <c r="V75" s="47">
        <f t="shared" si="88"/>
        <v>1.3458750000000001E-8</v>
      </c>
      <c r="W75" s="47">
        <f t="shared" si="88"/>
        <v>1.0629751168203622E-8</v>
      </c>
      <c r="X75" s="47">
        <f t="shared" si="88"/>
        <v>8.5792010252285604E-13</v>
      </c>
      <c r="Y75" s="47">
        <f t="shared" si="89"/>
        <v>2.4089359088306149E-8</v>
      </c>
      <c r="Z75" s="30">
        <f t="shared" ref="Z75:AP75" si="105">IFERROR(Z18/$B61,0)</f>
        <v>58280485.388985224</v>
      </c>
      <c r="AA75" s="30">
        <f t="shared" si="105"/>
        <v>580813976.68057108</v>
      </c>
      <c r="AB75" s="30">
        <f t="shared" si="105"/>
        <v>143256733.5500702</v>
      </c>
      <c r="AC75" s="30">
        <f t="shared" si="105"/>
        <v>76186183.241430804</v>
      </c>
      <c r="AD75" s="30">
        <f t="shared" si="105"/>
        <v>1015636471.1104118</v>
      </c>
      <c r="AE75" s="38">
        <f>IFERROR(s_RadSpec!$F$18*AE18,".")*$B$75</f>
        <v>8.5792010252285604E-13</v>
      </c>
      <c r="AF75" s="38">
        <f>IFERROR(s_RadSpec!$M$18*AF18,".")*$B$75</f>
        <v>8.6086082648624674E-14</v>
      </c>
      <c r="AG75" s="38">
        <f>IFERROR(s_RadSpec!$N$18*AG18,".")*$B$75</f>
        <v>3.4902373355123524E-13</v>
      </c>
      <c r="AH75" s="38">
        <f>IFERROR(s_RadSpec!$O$18*AH18,".")*$B$75</f>
        <v>6.5628697846106969E-13</v>
      </c>
      <c r="AI75" s="38">
        <f>IFERROR(s_RadSpec!$K$18*AI18,".")*$B$75</f>
        <v>4.9230213193638274E-14</v>
      </c>
      <c r="AJ75" s="47">
        <f t="shared" si="91"/>
        <v>8.5792010252285604E-13</v>
      </c>
      <c r="AK75" s="47">
        <f t="shared" si="91"/>
        <v>8.6086082648624674E-14</v>
      </c>
      <c r="AL75" s="47">
        <f t="shared" si="91"/>
        <v>3.4902373355123524E-13</v>
      </c>
      <c r="AM75" s="47">
        <f t="shared" si="91"/>
        <v>6.5628697846106969E-13</v>
      </c>
      <c r="AN75" s="47">
        <f t="shared" si="91"/>
        <v>4.9230213193638274E-14</v>
      </c>
      <c r="AO75" s="30">
        <f t="shared" si="105"/>
        <v>1.4708586137157569</v>
      </c>
      <c r="AP75" s="30">
        <f t="shared" si="105"/>
        <v>11176713443.087971</v>
      </c>
      <c r="AQ75" s="30">
        <f t="shared" si="92"/>
        <v>1.4708586135221913</v>
      </c>
      <c r="AR75" s="38">
        <f>IFERROR(s_RadSpec!$G$18*AR18,".")*$B$75</f>
        <v>3.3993750000000003E-5</v>
      </c>
      <c r="AS75" s="38">
        <f>IFERROR(s_RadSpec!$J$18*AS18,".")*$B$75</f>
        <v>4.4735870034246581E-15</v>
      </c>
      <c r="AT75" s="47">
        <f t="shared" si="93"/>
        <v>3.3993750000000003E-5</v>
      </c>
      <c r="AU75" s="47">
        <f t="shared" si="93"/>
        <v>4.4735870034246581E-15</v>
      </c>
      <c r="AV75" s="47">
        <f t="shared" si="94"/>
        <v>3.3993750004473591E-5</v>
      </c>
    </row>
    <row r="76" spans="1:48" x14ac:dyDescent="0.25">
      <c r="A76" s="29" t="s">
        <v>318</v>
      </c>
      <c r="B76" s="34">
        <v>1.339E-6</v>
      </c>
      <c r="C76" s="2"/>
      <c r="D76" s="30">
        <f>IFERROR(D27/$B62,0)</f>
        <v>0</v>
      </c>
      <c r="E76" s="30">
        <f>IFERROR(E27/$B62,0)</f>
        <v>0</v>
      </c>
      <c r="F76" s="30">
        <f>IFERROR(F27/$B62,0)</f>
        <v>527191614734.60107</v>
      </c>
      <c r="G76" s="30">
        <f t="shared" si="84"/>
        <v>527191614734.60107</v>
      </c>
      <c r="H76" s="38">
        <f>IFERROR(s_RadSpec!$I$27*H27,".")*$B$76</f>
        <v>0</v>
      </c>
      <c r="I76" s="38">
        <f>IFERROR(s_RadSpec!$G$27*I27,".")*$B$76</f>
        <v>0</v>
      </c>
      <c r="J76" s="38">
        <f>IFERROR(s_RadSpec!$F$27*J27,".")*$B$76</f>
        <v>9.4842176169989013E-17</v>
      </c>
      <c r="K76" s="47">
        <f t="shared" si="85"/>
        <v>0</v>
      </c>
      <c r="L76" s="47">
        <f t="shared" si="85"/>
        <v>0</v>
      </c>
      <c r="M76" s="47">
        <f t="shared" si="85"/>
        <v>9.4842176169989013E-17</v>
      </c>
      <c r="N76" s="47">
        <f t="shared" si="86"/>
        <v>9.4842176169989013E-17</v>
      </c>
      <c r="O76" s="30">
        <f>IFERROR(O27/$B62,0)</f>
        <v>0</v>
      </c>
      <c r="P76" s="30">
        <f>IFERROR(P27/$B62,0)</f>
        <v>0</v>
      </c>
      <c r="Q76" s="30">
        <f>IFERROR(Q27/$B62,0)</f>
        <v>527191614734.60107</v>
      </c>
      <c r="R76" s="30">
        <f t="shared" si="87"/>
        <v>527191614734.60107</v>
      </c>
      <c r="S76" s="38">
        <f>IFERROR(s_RadSpec!$I$27*S27,".")*$B$76</f>
        <v>0</v>
      </c>
      <c r="T76" s="38">
        <f>IFERROR(s_RadSpec!$G$27*T27,".")*$B$76</f>
        <v>0</v>
      </c>
      <c r="U76" s="38">
        <f>IFERROR(s_RadSpec!$F$27*U27,".")*$B$76</f>
        <v>9.4842176169989013E-17</v>
      </c>
      <c r="V76" s="47">
        <f t="shared" si="88"/>
        <v>0</v>
      </c>
      <c r="W76" s="47">
        <f t="shared" si="88"/>
        <v>0</v>
      </c>
      <c r="X76" s="47">
        <f t="shared" si="88"/>
        <v>9.4842176169989013E-17</v>
      </c>
      <c r="Y76" s="47">
        <f t="shared" si="89"/>
        <v>9.4842176169989013E-17</v>
      </c>
      <c r="Z76" s="30">
        <f t="shared" ref="Z76:AP76" si="106">IFERROR(Z27/$B62,0)</f>
        <v>527191614734.60107</v>
      </c>
      <c r="AA76" s="30">
        <f t="shared" si="106"/>
        <v>4604933333132.502</v>
      </c>
      <c r="AB76" s="30">
        <f t="shared" si="106"/>
        <v>1327847098517.2947</v>
      </c>
      <c r="AC76" s="30">
        <f t="shared" si="106"/>
        <v>726584739530.24622</v>
      </c>
      <c r="AD76" s="30">
        <f t="shared" si="106"/>
        <v>3485254968218.2139</v>
      </c>
      <c r="AE76" s="38">
        <f>IFERROR(s_RadSpec!$F$27*AE27,".")*$B$76</f>
        <v>9.4842176169989013E-17</v>
      </c>
      <c r="AF76" s="38">
        <f>IFERROR(s_RadSpec!$M$27*AF27,".")*$B$76</f>
        <v>1.0857920491541091E-17</v>
      </c>
      <c r="AG76" s="38">
        <f>IFERROR(s_RadSpec!$N$27*AG27,".")*$B$76</f>
        <v>3.7654937873367488E-17</v>
      </c>
      <c r="AH76" s="38">
        <f>IFERROR(s_RadSpec!$O$27*AH27,".")*$B$76</f>
        <v>6.8815097922819249E-17</v>
      </c>
      <c r="AI76" s="38">
        <f>IFERROR(s_RadSpec!$K$27*AI27,".")*$B$76</f>
        <v>1.4346152707892641E-17</v>
      </c>
      <c r="AJ76" s="47">
        <f t="shared" si="91"/>
        <v>9.4842176169989013E-17</v>
      </c>
      <c r="AK76" s="47">
        <f t="shared" si="91"/>
        <v>1.0857920491541091E-17</v>
      </c>
      <c r="AL76" s="47">
        <f t="shared" si="91"/>
        <v>3.7654937873367488E-17</v>
      </c>
      <c r="AM76" s="47">
        <f t="shared" si="91"/>
        <v>6.8815097922819249E-17</v>
      </c>
      <c r="AN76" s="47">
        <f t="shared" si="91"/>
        <v>1.4346152707892641E-17</v>
      </c>
      <c r="AO76" s="30">
        <f t="shared" si="106"/>
        <v>0</v>
      </c>
      <c r="AP76" s="30">
        <f t="shared" si="106"/>
        <v>37121087050459.398</v>
      </c>
      <c r="AQ76" s="30">
        <f t="shared" si="92"/>
        <v>37121087050459.398</v>
      </c>
      <c r="AR76" s="38">
        <f>IFERROR(s_RadSpec!$G$27*AR27,".")*$B$76</f>
        <v>0</v>
      </c>
      <c r="AS76" s="38">
        <f>IFERROR(s_RadSpec!$J$27*AS27,".")*$B$76</f>
        <v>1.3469433137029111E-18</v>
      </c>
      <c r="AT76" s="47">
        <f t="shared" si="93"/>
        <v>0</v>
      </c>
      <c r="AU76" s="47">
        <f t="shared" si="93"/>
        <v>1.3469433137029111E-18</v>
      </c>
      <c r="AV76" s="47">
        <f t="shared" si="94"/>
        <v>1.3469433137029111E-18</v>
      </c>
    </row>
  </sheetData>
  <sheetProtection algorithmName="SHA-512" hashValue="jyYCHTPqsv+lqbnC+2f4jBullEMXeDHBbXtmyHIVahfSx9uQh6vcnsljW4NjHKd2aSvbdb2ujUYiRofbyjTZCg==" saltValue="6jJskOl/fJt+IxWWwna5jA==" spinCount="100000" sheet="1" formatColumns="0" formatRows="0" autoFilter="0"/>
  <autoFilter ref="A1:AV76" xr:uid="{C9F26CDA-4FFC-4E00-BAEB-7125B63A60D5}"/>
  <pageMargins left="0.7" right="0.7" top="0.75" bottom="0.75" header="0.3" footer="0.3"/>
  <pageSetup orientation="portrait" horizontalDpi="1200" verticalDpi="12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0"/>
  <dimension ref="A1:X63"/>
  <sheetViews>
    <sheetView zoomScale="80" zoomScaleNormal="80" workbookViewId="0">
      <pane ySplit="1" topLeftCell="A2" activePane="bottomLeft" state="frozen"/>
      <selection pane="bottomLeft" activeCell="A2" sqref="A2"/>
    </sheetView>
  </sheetViews>
  <sheetFormatPr defaultColWidth="12.42578125" defaultRowHeight="15" x14ac:dyDescent="0.25"/>
  <cols>
    <col min="1" max="1" width="10" style="56" customWidth="1"/>
    <col min="2" max="2" width="12.42578125" style="56"/>
    <col min="3" max="3" width="14.85546875" style="56" bestFit="1" customWidth="1"/>
    <col min="4" max="4" width="12.140625" style="56" customWidth="1"/>
    <col min="5" max="5" width="12.42578125" style="56"/>
    <col min="6" max="6" width="15" style="56" bestFit="1" customWidth="1"/>
    <col min="7" max="7" width="12.28515625" style="56" customWidth="1"/>
    <col min="8" max="8" width="12.42578125" style="56"/>
    <col min="9" max="9" width="15" style="56" bestFit="1" customWidth="1"/>
    <col min="10" max="10" width="10.42578125" style="56" customWidth="1"/>
    <col min="11" max="11" width="12.42578125" style="56"/>
    <col min="12" max="12" width="15" style="56" bestFit="1" customWidth="1"/>
    <col min="13" max="13" width="12.140625" style="56" customWidth="1"/>
    <col min="14" max="14" width="12.42578125" style="56"/>
    <col min="15" max="15" width="15" style="56" bestFit="1" customWidth="1"/>
    <col min="16" max="16" width="11.42578125" style="56" customWidth="1"/>
    <col min="17" max="17" width="12.42578125" style="56"/>
    <col min="18" max="18" width="20.5703125" style="56" bestFit="1" customWidth="1"/>
    <col min="19" max="20" width="12.42578125" style="56"/>
    <col min="21" max="21" width="20.5703125" style="56" bestFit="1" customWidth="1"/>
    <col min="22" max="23" width="12.42578125" style="56"/>
    <col min="24" max="24" width="26.5703125" style="56" bestFit="1" customWidth="1"/>
    <col min="25" max="16384" width="12.42578125" style="56"/>
  </cols>
  <sheetData>
    <row r="1" spans="1:24" ht="18.75" x14ac:dyDescent="0.3">
      <c r="A1" s="102" t="s">
        <v>52</v>
      </c>
      <c r="B1" s="102"/>
      <c r="C1" s="102"/>
      <c r="D1" s="103" t="s">
        <v>319</v>
      </c>
      <c r="E1" s="103"/>
      <c r="F1" s="103"/>
      <c r="G1" s="104" t="s">
        <v>320</v>
      </c>
      <c r="H1" s="104"/>
      <c r="I1" s="104"/>
      <c r="J1" s="105" t="s">
        <v>321</v>
      </c>
      <c r="K1" s="105"/>
      <c r="L1" s="105"/>
      <c r="M1" s="106" t="s">
        <v>322</v>
      </c>
      <c r="N1" s="106"/>
      <c r="O1" s="106"/>
      <c r="P1" s="107" t="s">
        <v>323</v>
      </c>
      <c r="Q1" s="107"/>
      <c r="R1" s="107"/>
      <c r="S1" s="100" t="s">
        <v>324</v>
      </c>
      <c r="T1" s="100"/>
      <c r="U1" s="100"/>
      <c r="V1" s="101" t="s">
        <v>325</v>
      </c>
      <c r="W1" s="101"/>
      <c r="X1" s="101"/>
    </row>
    <row r="2" spans="1:24" ht="18.75" x14ac:dyDescent="0.35">
      <c r="A2" s="56" t="s">
        <v>273</v>
      </c>
      <c r="B2" s="14">
        <v>1.0000000000000001E-5</v>
      </c>
      <c r="C2" s="56" t="s">
        <v>326</v>
      </c>
      <c r="D2" s="56" t="s">
        <v>256</v>
      </c>
      <c r="E2" s="15">
        <v>20</v>
      </c>
      <c r="F2" s="3" t="s">
        <v>53</v>
      </c>
      <c r="G2" s="56" t="s">
        <v>255</v>
      </c>
      <c r="H2" s="15">
        <v>20</v>
      </c>
      <c r="I2" s="3" t="s">
        <v>53</v>
      </c>
      <c r="J2" s="56" t="s">
        <v>254</v>
      </c>
      <c r="K2" s="15">
        <v>20</v>
      </c>
      <c r="L2" s="3" t="s">
        <v>53</v>
      </c>
      <c r="M2" s="56" t="s">
        <v>257</v>
      </c>
      <c r="N2" s="15">
        <v>1</v>
      </c>
      <c r="O2" s="3" t="s">
        <v>53</v>
      </c>
      <c r="P2" s="56" t="s">
        <v>174</v>
      </c>
      <c r="Q2" s="66">
        <f>s_Q_C_wind*((3600)/(Q12*(1-s_V)*((s_Um/s_Ut)^3)*s_F_x))</f>
        <v>310235478.05778408</v>
      </c>
      <c r="R2" s="56" t="s">
        <v>95</v>
      </c>
      <c r="S2" s="56" t="s">
        <v>184</v>
      </c>
      <c r="T2" s="66">
        <f>s_Q_C_sc*(1/s_F_D)*((s_T_t*s_A_R)/(((2.6*((s_s/12)^0.8)*((s_W/3)^0.4))/((s_M_dry/0.2)^0.3))*((365-s_p_days)/365)*281.9*s_Σ_VKT))</f>
        <v>508471.93442795402</v>
      </c>
      <c r="U2" s="56" t="s">
        <v>95</v>
      </c>
      <c r="V2" s="56" t="s">
        <v>207</v>
      </c>
      <c r="W2" s="66">
        <f>s_Q_C__sc*(1/s_F_D)*(1/s_J__T)</f>
        <v>3197981.7271437394</v>
      </c>
      <c r="X2" s="56" t="s">
        <v>95</v>
      </c>
    </row>
    <row r="3" spans="1:24" ht="18" x14ac:dyDescent="0.35">
      <c r="A3" s="58" t="s">
        <v>287</v>
      </c>
      <c r="B3" s="16">
        <v>5</v>
      </c>
      <c r="C3" s="3" t="s">
        <v>327</v>
      </c>
      <c r="D3" s="56" t="s">
        <v>260</v>
      </c>
      <c r="E3" s="65">
        <f>s_ED_ind</f>
        <v>20</v>
      </c>
      <c r="F3" s="3" t="s">
        <v>53</v>
      </c>
      <c r="G3" s="56" t="s">
        <v>259</v>
      </c>
      <c r="H3" s="65">
        <f>s_ED_out</f>
        <v>20</v>
      </c>
      <c r="I3" s="3" t="s">
        <v>53</v>
      </c>
      <c r="J3" s="56" t="s">
        <v>258</v>
      </c>
      <c r="K3" s="65">
        <f>s_ED_com</f>
        <v>20</v>
      </c>
      <c r="L3" s="3" t="s">
        <v>53</v>
      </c>
      <c r="M3" s="56" t="s">
        <v>261</v>
      </c>
      <c r="N3" s="65">
        <f>s_ED_con</f>
        <v>1</v>
      </c>
      <c r="O3" s="3" t="s">
        <v>53</v>
      </c>
      <c r="P3" s="59" t="s">
        <v>175</v>
      </c>
      <c r="Q3" s="15">
        <v>5</v>
      </c>
      <c r="R3" s="56" t="s">
        <v>97</v>
      </c>
      <c r="S3" s="56" t="s">
        <v>185</v>
      </c>
      <c r="T3" s="70">
        <f>s_A_sc*EXP((((LN(s_Ac))-s_B_sc)^2)/s_C_sc)</f>
        <v>16.403103329458006</v>
      </c>
      <c r="U3" s="56" t="s">
        <v>328</v>
      </c>
      <c r="V3" s="56" t="s">
        <v>208</v>
      </c>
      <c r="W3" s="70">
        <f>s_A__sc*EXP((((LN(s_Ac))-s_B__sc)^2)/s_C__sc)</f>
        <v>9.4355742285493491</v>
      </c>
      <c r="X3" s="56" t="s">
        <v>328</v>
      </c>
    </row>
    <row r="4" spans="1:24" ht="18.75" x14ac:dyDescent="0.35">
      <c r="A4" s="58" t="s">
        <v>171</v>
      </c>
      <c r="B4" s="17">
        <v>0.5</v>
      </c>
      <c r="C4" s="56" t="s">
        <v>329</v>
      </c>
      <c r="D4" s="58" t="s">
        <v>247</v>
      </c>
      <c r="E4" s="16">
        <v>30</v>
      </c>
      <c r="F4" s="58" t="s">
        <v>59</v>
      </c>
      <c r="G4" s="58" t="s">
        <v>248</v>
      </c>
      <c r="H4" s="16">
        <v>30</v>
      </c>
      <c r="I4" s="58" t="s">
        <v>59</v>
      </c>
      <c r="J4" s="58" t="s">
        <v>285</v>
      </c>
      <c r="K4" s="16">
        <v>30</v>
      </c>
      <c r="L4" s="58" t="s">
        <v>59</v>
      </c>
      <c r="M4" s="58" t="s">
        <v>249</v>
      </c>
      <c r="N4" s="16">
        <v>30</v>
      </c>
      <c r="O4" s="58" t="s">
        <v>59</v>
      </c>
      <c r="P4" s="59" t="s">
        <v>176</v>
      </c>
      <c r="Q4" s="15">
        <v>11.32</v>
      </c>
      <c r="R4" s="56" t="s">
        <v>97</v>
      </c>
      <c r="S4" s="56" t="s">
        <v>186</v>
      </c>
      <c r="T4" s="70">
        <f>s_ED_con*s_EF_cw*s_ET_cw_o*3600</f>
        <v>1350000</v>
      </c>
      <c r="U4" s="57" t="s">
        <v>103</v>
      </c>
      <c r="V4" s="56" t="s">
        <v>209</v>
      </c>
      <c r="W4" s="70">
        <f>(s_M_pc_wind+s_M_excav+s_M_doz+s_M_grade+s_M_till)/(s_A_surf*s_T_t)</f>
        <v>1.5822450086592103E-5</v>
      </c>
      <c r="X4" s="56" t="s">
        <v>330</v>
      </c>
    </row>
    <row r="5" spans="1:24" ht="18" x14ac:dyDescent="0.25">
      <c r="A5" s="60" t="s">
        <v>172</v>
      </c>
      <c r="B5" s="16">
        <v>0.5</v>
      </c>
      <c r="C5" s="56" t="s">
        <v>331</v>
      </c>
      <c r="D5" s="58" t="s">
        <v>251</v>
      </c>
      <c r="E5" s="16">
        <v>25</v>
      </c>
      <c r="F5" s="58" t="s">
        <v>54</v>
      </c>
      <c r="G5" s="58" t="s">
        <v>252</v>
      </c>
      <c r="H5" s="16">
        <v>25</v>
      </c>
      <c r="I5" s="58" t="s">
        <v>54</v>
      </c>
      <c r="J5" s="58" t="s">
        <v>250</v>
      </c>
      <c r="K5" s="16">
        <v>25</v>
      </c>
      <c r="L5" s="58" t="s">
        <v>54</v>
      </c>
      <c r="M5" s="58" t="s">
        <v>253</v>
      </c>
      <c r="N5" s="16">
        <v>25</v>
      </c>
      <c r="O5" s="58" t="s">
        <v>54</v>
      </c>
      <c r="P5" s="61" t="s">
        <v>177</v>
      </c>
      <c r="Q5" s="18">
        <v>0.28499999999999998</v>
      </c>
      <c r="R5" s="57" t="s">
        <v>60</v>
      </c>
      <c r="S5" s="56" t="s">
        <v>187</v>
      </c>
      <c r="T5" s="70">
        <f>s_L_R*s_W_R*T24</f>
        <v>650.35544785183583</v>
      </c>
      <c r="U5" s="57" t="s">
        <v>105</v>
      </c>
      <c r="V5" s="56" t="s">
        <v>210</v>
      </c>
      <c r="W5" s="70">
        <f>0.036*(1-s_V)*((s_Um/s_Ut)^3)*s_F_x*s_ED_con*s_A_surf*8760</f>
        <v>117536.20049101896</v>
      </c>
      <c r="X5" s="57" t="s">
        <v>128</v>
      </c>
    </row>
    <row r="6" spans="1:24" ht="18" x14ac:dyDescent="0.25">
      <c r="A6" s="60" t="s">
        <v>173</v>
      </c>
      <c r="B6" s="16">
        <v>0.4</v>
      </c>
      <c r="C6" s="56" t="s">
        <v>331</v>
      </c>
      <c r="D6" s="58" t="s">
        <v>237</v>
      </c>
      <c r="E6" s="16">
        <v>55</v>
      </c>
      <c r="F6" s="58" t="s">
        <v>55</v>
      </c>
      <c r="G6" s="58" t="s">
        <v>238</v>
      </c>
      <c r="H6" s="16">
        <v>55</v>
      </c>
      <c r="I6" s="58" t="s">
        <v>55</v>
      </c>
      <c r="J6" s="58" t="s">
        <v>236</v>
      </c>
      <c r="K6" s="16">
        <v>55</v>
      </c>
      <c r="L6" s="58" t="s">
        <v>55</v>
      </c>
      <c r="M6" s="58" t="s">
        <v>194</v>
      </c>
      <c r="N6" s="72">
        <f>s_DW_cw*s_EW_cw</f>
        <v>75</v>
      </c>
      <c r="O6" s="58" t="s">
        <v>55</v>
      </c>
      <c r="P6" s="61" t="s">
        <v>178</v>
      </c>
      <c r="Q6" s="18">
        <v>0.25</v>
      </c>
      <c r="R6" s="56" t="s">
        <v>331</v>
      </c>
      <c r="S6" s="56" t="s">
        <v>188</v>
      </c>
      <c r="T6" s="70">
        <f>((s_N_cars*T26)+(s_N_trucks*T27))/(s_N_cars+s_N_trucks)</f>
        <v>8</v>
      </c>
      <c r="U6" s="57" t="s">
        <v>107</v>
      </c>
      <c r="V6" s="56" t="s">
        <v>211</v>
      </c>
      <c r="W6" s="70">
        <f>(0.35*0.0016*((s_Um/2.2)^1.3)/((s_M_m_excav/2)^1.4))*s_ρ_soil*s_A_excav*s_d_excav*s_N_A_dump*1000</f>
        <v>282139.27938829322</v>
      </c>
      <c r="X6" s="57" t="s">
        <v>128</v>
      </c>
    </row>
    <row r="7" spans="1:24" ht="18" x14ac:dyDescent="0.35">
      <c r="C7" s="56" t="s">
        <v>331</v>
      </c>
      <c r="D7" s="58" t="s">
        <v>241</v>
      </c>
      <c r="E7" s="16">
        <v>0</v>
      </c>
      <c r="F7" s="58" t="s">
        <v>332</v>
      </c>
      <c r="G7" s="58" t="s">
        <v>243</v>
      </c>
      <c r="H7" s="16">
        <v>5</v>
      </c>
      <c r="I7" s="58" t="s">
        <v>332</v>
      </c>
      <c r="J7" s="58" t="s">
        <v>239</v>
      </c>
      <c r="K7" s="16">
        <v>2</v>
      </c>
      <c r="L7" s="58" t="s">
        <v>332</v>
      </c>
      <c r="M7" s="58" t="s">
        <v>200</v>
      </c>
      <c r="N7" s="16">
        <v>3</v>
      </c>
      <c r="O7" s="58" t="s">
        <v>79</v>
      </c>
      <c r="P7" s="56" t="s">
        <v>179</v>
      </c>
      <c r="Q7" s="70">
        <f>s_A_wind*EXP((((LN(s_As))-s_B_wind)^2)/s_C_wind)</f>
        <v>57.143694778447667</v>
      </c>
      <c r="R7" s="56" t="s">
        <v>328</v>
      </c>
      <c r="S7" s="56" t="s">
        <v>189</v>
      </c>
      <c r="T7" s="70">
        <f>(s_N_cars+s_N_trucks)*s_distance*s_EW_cw*s_DW_cw</f>
        <v>320.05695269028917</v>
      </c>
      <c r="U7" s="57" t="s">
        <v>109</v>
      </c>
      <c r="V7" s="56" t="s">
        <v>212</v>
      </c>
      <c r="W7" s="70">
        <f>0.75*((0.45*(s_s_doz^1.5))/(s_M_m_doz^1.4))*(s_Σ_VKT_doz/s_S_doz_speed)*1000</f>
        <v>1604.3679661535591</v>
      </c>
      <c r="X7" s="57" t="s">
        <v>128</v>
      </c>
    </row>
    <row r="8" spans="1:24" x14ac:dyDescent="0.25">
      <c r="D8" s="58" t="s">
        <v>242</v>
      </c>
      <c r="E8" s="16">
        <v>5</v>
      </c>
      <c r="F8" s="58" t="s">
        <v>333</v>
      </c>
      <c r="G8" s="58" t="s">
        <v>244</v>
      </c>
      <c r="H8" s="16">
        <v>0</v>
      </c>
      <c r="I8" s="58" t="s">
        <v>333</v>
      </c>
      <c r="J8" s="58" t="s">
        <v>240</v>
      </c>
      <c r="K8" s="16">
        <v>3</v>
      </c>
      <c r="L8" s="58" t="s">
        <v>333</v>
      </c>
      <c r="M8" s="58" t="s">
        <v>199</v>
      </c>
      <c r="N8" s="16">
        <v>25</v>
      </c>
      <c r="O8" s="58" t="s">
        <v>81</v>
      </c>
      <c r="P8" s="61" t="s">
        <v>180</v>
      </c>
      <c r="Q8" s="18">
        <v>5</v>
      </c>
      <c r="R8" s="57" t="s">
        <v>102</v>
      </c>
      <c r="S8" s="56" t="s">
        <v>190</v>
      </c>
      <c r="T8" s="71">
        <f>0.1852+(5.3537/s_t_c)+(-9.6318/(s_t_c)^2)</f>
        <v>0.18647414445578231</v>
      </c>
      <c r="U8" s="57" t="s">
        <v>60</v>
      </c>
      <c r="V8" s="56" t="s">
        <v>213</v>
      </c>
      <c r="W8" s="70">
        <f>0.6*0.0056*(s_S_grade^2)*s_Σ_VKT_grade*1000</f>
        <v>1699.7399999999998</v>
      </c>
      <c r="X8" s="57" t="s">
        <v>128</v>
      </c>
    </row>
    <row r="9" spans="1:24" ht="18" x14ac:dyDescent="0.35">
      <c r="M9" s="58" t="s">
        <v>245</v>
      </c>
      <c r="N9" s="16">
        <v>5</v>
      </c>
      <c r="O9" s="58" t="s">
        <v>332</v>
      </c>
      <c r="P9" s="56" t="s">
        <v>181</v>
      </c>
      <c r="Q9" s="20">
        <v>15.0235</v>
      </c>
      <c r="R9" s="57"/>
      <c r="S9" s="56" t="s">
        <v>191</v>
      </c>
      <c r="T9" s="70">
        <f>s_ED_con*s_EW_cw*T22*T23</f>
        <v>4200</v>
      </c>
      <c r="U9" s="57" t="s">
        <v>112</v>
      </c>
      <c r="V9" s="56" t="s">
        <v>214</v>
      </c>
      <c r="W9" s="70">
        <f>1.1*(s_s_till^0.6)*s_A_till*4047*(1/10000)*1000*s_N_A_till</f>
        <v>29231.284567160626</v>
      </c>
      <c r="X9" s="57" t="s">
        <v>128</v>
      </c>
    </row>
    <row r="10" spans="1:24" ht="18" x14ac:dyDescent="0.35">
      <c r="M10" s="58" t="s">
        <v>246</v>
      </c>
      <c r="N10" s="16">
        <v>0</v>
      </c>
      <c r="O10" s="58" t="s">
        <v>333</v>
      </c>
      <c r="P10" s="56" t="s">
        <v>182</v>
      </c>
      <c r="Q10" s="20">
        <v>18.252600000000001</v>
      </c>
      <c r="R10" s="57"/>
      <c r="S10" s="56" t="s">
        <v>192</v>
      </c>
      <c r="T10" s="70">
        <f>SQRT(s_Ac*43560.17)</f>
        <v>466.69138625005706</v>
      </c>
      <c r="U10" s="57" t="s">
        <v>114</v>
      </c>
      <c r="V10" s="56" t="s">
        <v>215</v>
      </c>
      <c r="W10" s="70">
        <f>s_Ac*4046.86</f>
        <v>20234.3</v>
      </c>
      <c r="X10" s="57" t="s">
        <v>105</v>
      </c>
    </row>
    <row r="11" spans="1:24" ht="18" x14ac:dyDescent="0.35">
      <c r="P11" s="56" t="s">
        <v>183</v>
      </c>
      <c r="Q11" s="20">
        <v>207.33869999999999</v>
      </c>
      <c r="R11" s="57"/>
      <c r="S11" s="56" t="s">
        <v>193</v>
      </c>
      <c r="T11" s="70">
        <f>s_L_R*0.0003048</f>
        <v>0.14224753452901739</v>
      </c>
      <c r="U11" s="57" t="s">
        <v>116</v>
      </c>
      <c r="V11" s="56" t="s">
        <v>216</v>
      </c>
      <c r="W11" s="70">
        <f>s_Ac_doz*4047*(1/s_B_doz)*(1/1000)*s_N_A_doz</f>
        <v>20.234999999999999</v>
      </c>
      <c r="X11" s="57" t="s">
        <v>109</v>
      </c>
    </row>
    <row r="12" spans="1:24" x14ac:dyDescent="0.25">
      <c r="P12" s="57"/>
      <c r="Q12" s="18">
        <v>3.5999999999999997E-2</v>
      </c>
      <c r="R12" s="56" t="s">
        <v>334</v>
      </c>
      <c r="S12" s="56" t="s">
        <v>195</v>
      </c>
      <c r="T12" s="18">
        <v>15</v>
      </c>
      <c r="U12" s="57" t="s">
        <v>114</v>
      </c>
      <c r="V12" s="56" t="s">
        <v>217</v>
      </c>
      <c r="W12" s="70">
        <f>s_Ac_grade*4047*(1/s_B_grade)*(1/1000)*s_N_A_grade</f>
        <v>20.234999999999999</v>
      </c>
      <c r="X12" s="57" t="s">
        <v>109</v>
      </c>
    </row>
    <row r="13" spans="1:24" x14ac:dyDescent="0.25">
      <c r="S13" s="56" t="s">
        <v>196</v>
      </c>
      <c r="T13" s="18">
        <v>20</v>
      </c>
      <c r="U13" s="56" t="s">
        <v>335</v>
      </c>
      <c r="V13" s="61" t="s">
        <v>218</v>
      </c>
      <c r="W13" s="18">
        <v>5</v>
      </c>
      <c r="X13" s="57" t="s">
        <v>137</v>
      </c>
    </row>
    <row r="14" spans="1:24" x14ac:dyDescent="0.25">
      <c r="S14" s="56" t="s">
        <v>197</v>
      </c>
      <c r="T14" s="18">
        <v>10</v>
      </c>
      <c r="U14" s="56" t="s">
        <v>336</v>
      </c>
      <c r="V14" s="61" t="s">
        <v>219</v>
      </c>
      <c r="W14" s="18">
        <v>5000</v>
      </c>
      <c r="X14" s="57" t="s">
        <v>105</v>
      </c>
    </row>
    <row r="15" spans="1:24" x14ac:dyDescent="0.25">
      <c r="S15" s="56" t="s">
        <v>198</v>
      </c>
      <c r="T15" s="18">
        <v>5</v>
      </c>
      <c r="U15" s="57" t="s">
        <v>102</v>
      </c>
      <c r="V15" s="61" t="s">
        <v>220</v>
      </c>
      <c r="W15" s="18">
        <v>5</v>
      </c>
      <c r="X15" s="57" t="s">
        <v>82</v>
      </c>
    </row>
    <row r="16" spans="1:24" x14ac:dyDescent="0.25">
      <c r="S16" s="56" t="s">
        <v>201</v>
      </c>
      <c r="T16" s="18">
        <v>0.15</v>
      </c>
      <c r="U16" s="57" t="s">
        <v>121</v>
      </c>
      <c r="V16" s="61" t="s">
        <v>221</v>
      </c>
      <c r="W16" s="18">
        <v>5</v>
      </c>
      <c r="X16" s="56" t="s">
        <v>337</v>
      </c>
    </row>
    <row r="17" spans="4:24" ht="18" x14ac:dyDescent="0.35">
      <c r="S17" s="56" t="s">
        <v>202</v>
      </c>
      <c r="T17" s="18">
        <v>70</v>
      </c>
      <c r="U17" s="57" t="s">
        <v>55</v>
      </c>
      <c r="V17" s="61" t="s">
        <v>222</v>
      </c>
      <c r="W17" s="18">
        <v>5</v>
      </c>
      <c r="X17" s="57" t="s">
        <v>121</v>
      </c>
    </row>
    <row r="18" spans="4:24" x14ac:dyDescent="0.25">
      <c r="S18" s="56" t="s">
        <v>203</v>
      </c>
      <c r="T18" s="18">
        <v>5</v>
      </c>
      <c r="U18" s="57" t="s">
        <v>121</v>
      </c>
      <c r="V18" s="61" t="s">
        <v>223</v>
      </c>
      <c r="W18" s="18">
        <v>5</v>
      </c>
      <c r="X18" s="57" t="s">
        <v>121</v>
      </c>
    </row>
    <row r="19" spans="4:24" ht="18" x14ac:dyDescent="0.35">
      <c r="S19" s="56" t="s">
        <v>204</v>
      </c>
      <c r="T19" s="20">
        <v>12.9351</v>
      </c>
      <c r="U19" s="57"/>
      <c r="V19" s="61" t="s">
        <v>224</v>
      </c>
      <c r="W19" s="18">
        <v>5</v>
      </c>
      <c r="X19" s="57" t="s">
        <v>121</v>
      </c>
    </row>
    <row r="20" spans="4:24" ht="18" x14ac:dyDescent="0.35">
      <c r="S20" s="56" t="s">
        <v>205</v>
      </c>
      <c r="T20" s="20">
        <v>5.7382999999999997</v>
      </c>
      <c r="U20" s="57"/>
      <c r="V20" s="61" t="s">
        <v>225</v>
      </c>
      <c r="W20" s="18">
        <v>5</v>
      </c>
      <c r="X20" s="57" t="s">
        <v>144</v>
      </c>
    </row>
    <row r="21" spans="4:24" ht="18" x14ac:dyDescent="0.35">
      <c r="S21" s="56" t="s">
        <v>206</v>
      </c>
      <c r="T21" s="20">
        <v>71.771100000000004</v>
      </c>
      <c r="U21" s="57"/>
      <c r="V21" s="61" t="s">
        <v>226</v>
      </c>
      <c r="W21" s="18">
        <v>5</v>
      </c>
      <c r="X21" s="57" t="s">
        <v>144</v>
      </c>
    </row>
    <row r="22" spans="4:24" x14ac:dyDescent="0.25">
      <c r="S22" s="57"/>
      <c r="T22" s="18">
        <v>7</v>
      </c>
      <c r="U22" s="57" t="s">
        <v>79</v>
      </c>
      <c r="V22" s="61" t="s">
        <v>227</v>
      </c>
      <c r="W22" s="18">
        <v>5</v>
      </c>
      <c r="X22" s="57" t="s">
        <v>121</v>
      </c>
    </row>
    <row r="23" spans="4:24" x14ac:dyDescent="0.25">
      <c r="S23" s="57"/>
      <c r="T23" s="18">
        <v>24</v>
      </c>
      <c r="U23" s="57" t="s">
        <v>56</v>
      </c>
      <c r="V23" s="61" t="s">
        <v>228</v>
      </c>
      <c r="W23" s="18">
        <v>5</v>
      </c>
      <c r="X23" s="57" t="s">
        <v>102</v>
      </c>
    </row>
    <row r="24" spans="4:24" x14ac:dyDescent="0.25">
      <c r="S24" s="57"/>
      <c r="T24" s="18">
        <v>9.2902999999999999E-2</v>
      </c>
      <c r="U24" s="57" t="s">
        <v>123</v>
      </c>
      <c r="V24" s="61" t="s">
        <v>229</v>
      </c>
      <c r="W24" s="18">
        <v>5</v>
      </c>
      <c r="X24" s="56" t="s">
        <v>338</v>
      </c>
    </row>
    <row r="25" spans="4:24" x14ac:dyDescent="0.25">
      <c r="S25" s="57"/>
      <c r="T25" s="18">
        <v>365</v>
      </c>
      <c r="U25" s="57" t="s">
        <v>55</v>
      </c>
      <c r="V25" s="61" t="s">
        <v>230</v>
      </c>
      <c r="W25" s="18">
        <v>5</v>
      </c>
      <c r="X25" s="57" t="s">
        <v>102</v>
      </c>
    </row>
    <row r="26" spans="4:24" x14ac:dyDescent="0.25">
      <c r="S26" s="57"/>
      <c r="T26" s="18">
        <v>2</v>
      </c>
      <c r="U26" s="57" t="s">
        <v>124</v>
      </c>
      <c r="V26" s="61" t="s">
        <v>231</v>
      </c>
      <c r="W26" s="18">
        <v>5</v>
      </c>
      <c r="X26" s="57" t="s">
        <v>102</v>
      </c>
    </row>
    <row r="27" spans="4:24" x14ac:dyDescent="0.25">
      <c r="S27" s="57"/>
      <c r="T27" s="18">
        <v>20</v>
      </c>
      <c r="U27" s="57" t="s">
        <v>125</v>
      </c>
      <c r="V27" s="61" t="s">
        <v>266</v>
      </c>
      <c r="W27" s="18">
        <v>5</v>
      </c>
      <c r="X27" s="57" t="s">
        <v>82</v>
      </c>
    </row>
    <row r="28" spans="4:24" x14ac:dyDescent="0.25">
      <c r="V28" s="61" t="s">
        <v>267</v>
      </c>
      <c r="W28" s="18">
        <v>5</v>
      </c>
      <c r="X28" s="57" t="s">
        <v>82</v>
      </c>
    </row>
    <row r="29" spans="4:24" x14ac:dyDescent="0.25">
      <c r="V29" s="61" t="s">
        <v>232</v>
      </c>
      <c r="W29" s="18">
        <v>5</v>
      </c>
      <c r="X29" s="56" t="s">
        <v>339</v>
      </c>
    </row>
    <row r="30" spans="4:24" x14ac:dyDescent="0.25">
      <c r="V30" s="61" t="s">
        <v>265</v>
      </c>
      <c r="W30" s="15">
        <v>5</v>
      </c>
      <c r="X30" s="56" t="s">
        <v>340</v>
      </c>
    </row>
    <row r="31" spans="4:24" ht="18" x14ac:dyDescent="0.35">
      <c r="V31" s="56" t="s">
        <v>233</v>
      </c>
      <c r="W31" s="20">
        <v>2.4538000000000002</v>
      </c>
      <c r="X31" s="57"/>
    </row>
    <row r="32" spans="4:24" ht="18" x14ac:dyDescent="0.35">
      <c r="D32" s="58"/>
      <c r="E32" s="16"/>
      <c r="V32" s="56" t="s">
        <v>234</v>
      </c>
      <c r="W32" s="20">
        <v>17.565999999999999</v>
      </c>
    </row>
    <row r="33" spans="4:23" ht="18" x14ac:dyDescent="0.35">
      <c r="F33" s="58"/>
      <c r="V33" s="56" t="s">
        <v>235</v>
      </c>
      <c r="W33" s="20">
        <v>189.04259999999999</v>
      </c>
    </row>
    <row r="41" spans="4:23" x14ac:dyDescent="0.25">
      <c r="D41" s="58"/>
      <c r="E41" s="16"/>
      <c r="F41" s="58"/>
    </row>
    <row r="61" spans="4:6" x14ac:dyDescent="0.25">
      <c r="D61" s="58"/>
      <c r="E61" s="16"/>
      <c r="F61" s="69"/>
    </row>
    <row r="62" spans="4:6" x14ac:dyDescent="0.25">
      <c r="D62" s="58"/>
      <c r="E62" s="16"/>
      <c r="F62" s="69"/>
    </row>
    <row r="63" spans="4:6" x14ac:dyDescent="0.25">
      <c r="D63" s="58"/>
      <c r="E63" s="16"/>
      <c r="F63" s="69"/>
    </row>
  </sheetData>
  <sheetProtection algorithmName="SHA-512" hashValue="0X3uZ/Vv7DKqyH35Ds0uzFmI9IfsbD/1lVNkkmRONzwDdbrmqJtg2kUxHSUQiQFw/Efq4ibGUOSP7NF94vojug==" saltValue="XN7k6B1CFrwpJixilKLuyQ==" spinCount="100000" sheet="1" formatColumns="0" formatRows="0" autoFilter="0"/>
  <mergeCells count="8">
    <mergeCell ref="P1:R1"/>
    <mergeCell ref="S1:U1"/>
    <mergeCell ref="V1:X1"/>
    <mergeCell ref="A1:C1"/>
    <mergeCell ref="D1:F1"/>
    <mergeCell ref="G1:I1"/>
    <mergeCell ref="J1:L1"/>
    <mergeCell ref="M1:O1"/>
  </mergeCells>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5"/>
  <dimension ref="A1:AK30"/>
  <sheetViews>
    <sheetView zoomScale="90" zoomScaleNormal="90" workbookViewId="0">
      <pane xSplit="2" ySplit="1" topLeftCell="C2" activePane="bottomRight" state="frozen"/>
      <selection pane="topRight" activeCell="C1" sqref="C1"/>
      <selection pane="bottomLeft" activeCell="A2" sqref="A2"/>
      <selection pane="bottomRight" activeCell="C2" sqref="C2"/>
    </sheetView>
  </sheetViews>
  <sheetFormatPr defaultColWidth="9.140625" defaultRowHeight="15" x14ac:dyDescent="0.25"/>
  <cols>
    <col min="1" max="1" width="15.42578125" style="24" bestFit="1" customWidth="1"/>
    <col min="2" max="2" width="11.5703125" style="24" bestFit="1" customWidth="1"/>
    <col min="3" max="3" width="10.28515625" style="24" bestFit="1" customWidth="1"/>
    <col min="4" max="4" width="9" style="3" bestFit="1" customWidth="1"/>
    <col min="5" max="8" width="9" style="4" bestFit="1" customWidth="1"/>
    <col min="9" max="9" width="9.85546875" style="4" bestFit="1" customWidth="1"/>
    <col min="10" max="10" width="11" style="4" bestFit="1" customWidth="1"/>
    <col min="11" max="11" width="9.7109375" style="4" bestFit="1" customWidth="1"/>
    <col min="12" max="14" width="10.7109375" style="4" bestFit="1" customWidth="1"/>
    <col min="15" max="15" width="11.85546875" style="4" bestFit="1" customWidth="1"/>
    <col min="16" max="16" width="9.7109375" style="4" customWidth="1"/>
    <col min="17" max="17" width="9.7109375" style="4" bestFit="1" customWidth="1"/>
    <col min="18" max="19" width="10.7109375" style="4" bestFit="1" customWidth="1"/>
    <col min="20" max="20" width="11.85546875" style="4" bestFit="1" customWidth="1"/>
    <col min="21" max="21" width="9.85546875" style="4" bestFit="1" customWidth="1"/>
    <col min="22" max="22" width="9.7109375" style="4" bestFit="1" customWidth="1"/>
    <col min="23" max="24" width="10.7109375" style="4" bestFit="1" customWidth="1"/>
    <col min="25" max="25" width="11.85546875" style="4" bestFit="1" customWidth="1"/>
    <col min="26" max="26" width="10.42578125" style="4" customWidth="1"/>
    <col min="27" max="27" width="10.28515625" style="4" customWidth="1"/>
    <col min="28" max="29" width="11.28515625" style="4" customWidth="1"/>
    <col min="30" max="30" width="12.42578125" style="4" bestFit="1" customWidth="1"/>
    <col min="31" max="31" width="12.5703125" style="4" bestFit="1" customWidth="1"/>
    <col min="32" max="32" width="10.5703125" style="4" bestFit="1" customWidth="1"/>
    <col min="33" max="33" width="9" style="4" bestFit="1" customWidth="1"/>
    <col min="34" max="34" width="11.85546875" style="4" bestFit="1" customWidth="1"/>
    <col min="35" max="35" width="11.28515625" style="4" bestFit="1" customWidth="1"/>
    <col min="36" max="36" width="7.42578125" style="4" bestFit="1" customWidth="1"/>
    <col min="37" max="37" width="8.5703125" style="3" bestFit="1" customWidth="1"/>
    <col min="38" max="16384" width="9.140625" style="3"/>
  </cols>
  <sheetData>
    <row r="1" spans="1:37" s="54" customFormat="1" x14ac:dyDescent="0.25">
      <c r="A1" s="21" t="s">
        <v>51</v>
      </c>
      <c r="B1" s="21" t="s">
        <v>274</v>
      </c>
      <c r="C1" s="49" t="s">
        <v>278</v>
      </c>
      <c r="D1" s="50" t="s">
        <v>0</v>
      </c>
      <c r="E1" s="50" t="s">
        <v>1</v>
      </c>
      <c r="F1" s="50" t="s">
        <v>2</v>
      </c>
      <c r="G1" s="50" t="s">
        <v>3</v>
      </c>
      <c r="H1" s="50" t="s">
        <v>4</v>
      </c>
      <c r="I1" s="50" t="s">
        <v>5</v>
      </c>
      <c r="J1" s="50" t="s">
        <v>6</v>
      </c>
      <c r="K1" s="50" t="s">
        <v>7</v>
      </c>
      <c r="L1" s="50" t="s">
        <v>8</v>
      </c>
      <c r="M1" s="50" t="s">
        <v>9</v>
      </c>
      <c r="N1" s="50" t="s">
        <v>10</v>
      </c>
      <c r="O1" s="50" t="s">
        <v>11</v>
      </c>
      <c r="P1" s="67" t="s">
        <v>41</v>
      </c>
      <c r="Q1" s="67" t="s">
        <v>42</v>
      </c>
      <c r="R1" s="67" t="s">
        <v>43</v>
      </c>
      <c r="S1" s="67" t="s">
        <v>44</v>
      </c>
      <c r="T1" s="67" t="s">
        <v>45</v>
      </c>
      <c r="U1" s="67" t="s">
        <v>46</v>
      </c>
      <c r="V1" s="67" t="s">
        <v>47</v>
      </c>
      <c r="W1" s="67" t="s">
        <v>48</v>
      </c>
      <c r="X1" s="67" t="s">
        <v>49</v>
      </c>
      <c r="Y1" s="67" t="s">
        <v>50</v>
      </c>
      <c r="Z1" s="51" t="s">
        <v>279</v>
      </c>
      <c r="AA1" s="51" t="s">
        <v>280</v>
      </c>
      <c r="AB1" s="51" t="s">
        <v>281</v>
      </c>
      <c r="AC1" s="51" t="s">
        <v>282</v>
      </c>
      <c r="AD1" s="51" t="s">
        <v>283</v>
      </c>
      <c r="AE1" s="52" t="s">
        <v>269</v>
      </c>
      <c r="AF1" s="52" t="s">
        <v>270</v>
      </c>
      <c r="AG1" s="53" t="s">
        <v>86</v>
      </c>
      <c r="AH1" s="53" t="s">
        <v>271</v>
      </c>
      <c r="AI1" s="53" t="s">
        <v>272</v>
      </c>
      <c r="AJ1" s="54" t="s">
        <v>276</v>
      </c>
      <c r="AK1" s="54" t="s">
        <v>277</v>
      </c>
    </row>
    <row r="2" spans="1:37" x14ac:dyDescent="0.25">
      <c r="A2" s="23" t="s">
        <v>12</v>
      </c>
      <c r="B2" s="24" t="s">
        <v>289</v>
      </c>
      <c r="D2" s="4">
        <v>5</v>
      </c>
      <c r="E2" s="4">
        <v>5</v>
      </c>
      <c r="F2" s="4">
        <v>5</v>
      </c>
      <c r="G2" s="4">
        <v>5</v>
      </c>
      <c r="H2" s="4">
        <v>5</v>
      </c>
      <c r="I2" s="4">
        <v>5</v>
      </c>
      <c r="J2" s="4">
        <v>5</v>
      </c>
      <c r="K2" s="4">
        <v>5</v>
      </c>
      <c r="L2" s="4">
        <v>5</v>
      </c>
      <c r="M2" s="4">
        <v>5</v>
      </c>
      <c r="N2" s="4">
        <v>5</v>
      </c>
      <c r="O2" s="4">
        <v>5</v>
      </c>
      <c r="P2" s="7">
        <v>0.98115942028985503</v>
      </c>
      <c r="Q2" s="7">
        <v>0.94192634560906496</v>
      </c>
      <c r="R2" s="7">
        <v>0.931707317073171</v>
      </c>
      <c r="S2" s="7">
        <v>0.91452991452991494</v>
      </c>
      <c r="T2" s="7">
        <v>0.91685393258426995</v>
      </c>
      <c r="U2" s="7">
        <v>1.1999999999999999E-3</v>
      </c>
      <c r="V2" s="7">
        <v>0.02</v>
      </c>
      <c r="W2" s="7">
        <v>0.01</v>
      </c>
      <c r="X2" s="7">
        <v>1.4999999999999999E-2</v>
      </c>
      <c r="Y2" s="7">
        <v>1.7999999999999999E-2</v>
      </c>
      <c r="Z2" s="55">
        <f t="shared" ref="Z2:AD17" si="0">0.4*U2</f>
        <v>4.7999999999999996E-4</v>
      </c>
      <c r="AA2" s="55">
        <f t="shared" si="0"/>
        <v>8.0000000000000002E-3</v>
      </c>
      <c r="AB2" s="55">
        <f t="shared" si="0"/>
        <v>4.0000000000000001E-3</v>
      </c>
      <c r="AC2" s="55">
        <f t="shared" si="0"/>
        <v>6.0000000000000001E-3</v>
      </c>
      <c r="AD2" s="55">
        <f t="shared" si="0"/>
        <v>7.1999999999999998E-3</v>
      </c>
      <c r="AE2" s="4">
        <v>5</v>
      </c>
      <c r="AF2" s="22">
        <v>225</v>
      </c>
      <c r="AG2" s="4">
        <v>5</v>
      </c>
      <c r="AH2" s="22">
        <v>5.0000000000000001E-4</v>
      </c>
      <c r="AI2" s="4">
        <f>0.693/AE2</f>
        <v>0.1386</v>
      </c>
      <c r="AJ2" s="3">
        <v>5</v>
      </c>
      <c r="AK2" s="24">
        <v>225</v>
      </c>
    </row>
    <row r="3" spans="1:37" x14ac:dyDescent="0.25">
      <c r="A3" s="25" t="s">
        <v>13</v>
      </c>
      <c r="B3" s="24" t="s">
        <v>275</v>
      </c>
      <c r="D3" s="4">
        <v>5</v>
      </c>
      <c r="E3" s="4">
        <v>5</v>
      </c>
      <c r="F3" s="4">
        <v>5</v>
      </c>
      <c r="G3" s="4">
        <v>5</v>
      </c>
      <c r="H3" s="4">
        <v>5</v>
      </c>
      <c r="I3" s="4">
        <v>5</v>
      </c>
      <c r="J3" s="4">
        <v>5</v>
      </c>
      <c r="K3" s="4">
        <v>5</v>
      </c>
      <c r="L3" s="4">
        <v>5</v>
      </c>
      <c r="M3" s="4">
        <v>5</v>
      </c>
      <c r="N3" s="4">
        <v>5</v>
      </c>
      <c r="O3" s="4">
        <v>5</v>
      </c>
      <c r="P3" s="7">
        <v>0.98581560283687897</v>
      </c>
      <c r="Q3" s="7">
        <v>0.95726495726495697</v>
      </c>
      <c r="R3" s="7">
        <v>0.93096234309623405</v>
      </c>
      <c r="S3" s="7">
        <v>0.90049751243781095</v>
      </c>
      <c r="T3" s="7">
        <v>0.87357630979498901</v>
      </c>
      <c r="U3" s="7">
        <v>6.7000000000000002E-5</v>
      </c>
      <c r="V3" s="7">
        <v>1.4999999999999999E-4</v>
      </c>
      <c r="W3" s="7">
        <v>1.1E-4</v>
      </c>
      <c r="X3" s="7">
        <v>1.4999999999999999E-4</v>
      </c>
      <c r="Y3" s="7">
        <v>1.4999999999999999E-4</v>
      </c>
      <c r="Z3" s="55">
        <f t="shared" si="0"/>
        <v>2.6800000000000001E-5</v>
      </c>
      <c r="AA3" s="55">
        <f t="shared" si="0"/>
        <v>5.9999999999999995E-5</v>
      </c>
      <c r="AB3" s="55">
        <f t="shared" si="0"/>
        <v>4.4000000000000006E-5</v>
      </c>
      <c r="AC3" s="55">
        <f t="shared" si="0"/>
        <v>5.9999999999999995E-5</v>
      </c>
      <c r="AD3" s="55">
        <f t="shared" si="0"/>
        <v>5.9999999999999995E-5</v>
      </c>
      <c r="AE3" s="4">
        <v>5</v>
      </c>
      <c r="AF3" s="22">
        <v>241</v>
      </c>
      <c r="AG3" s="4">
        <v>5</v>
      </c>
      <c r="AH3" s="22">
        <v>5.0000000000000001E-4</v>
      </c>
      <c r="AI3" s="4">
        <f t="shared" ref="AI3:AI30" si="1">0.693/AE3</f>
        <v>0.1386</v>
      </c>
      <c r="AJ3" s="3">
        <v>5</v>
      </c>
      <c r="AK3" s="24">
        <v>241</v>
      </c>
    </row>
    <row r="4" spans="1:37" x14ac:dyDescent="0.25">
      <c r="A4" s="23" t="s">
        <v>14</v>
      </c>
      <c r="B4" s="24" t="s">
        <v>289</v>
      </c>
      <c r="D4" s="4">
        <v>5</v>
      </c>
      <c r="E4" s="4">
        <v>5</v>
      </c>
      <c r="F4" s="4">
        <v>5</v>
      </c>
      <c r="G4" s="4">
        <v>5</v>
      </c>
      <c r="H4" s="4">
        <v>5</v>
      </c>
      <c r="I4" s="4">
        <v>5</v>
      </c>
      <c r="J4" s="4">
        <v>5</v>
      </c>
      <c r="K4" s="4">
        <v>5</v>
      </c>
      <c r="L4" s="4">
        <v>5</v>
      </c>
      <c r="M4" s="4">
        <v>5</v>
      </c>
      <c r="N4" s="4">
        <v>5</v>
      </c>
      <c r="O4" s="4">
        <v>5</v>
      </c>
      <c r="P4" s="7">
        <v>0.914201183431953</v>
      </c>
      <c r="Q4" s="7">
        <v>0.85714285714285698</v>
      </c>
      <c r="R4" s="7">
        <v>0.90909090909090895</v>
      </c>
      <c r="S4" s="7">
        <v>0.91269841269841301</v>
      </c>
      <c r="T4" s="7">
        <v>0.89869753979739497</v>
      </c>
      <c r="U4" s="7">
        <v>1.4E-2</v>
      </c>
      <c r="V4" s="7">
        <v>4.4999999999999998E-2</v>
      </c>
      <c r="W4" s="7">
        <v>2.5999999999999999E-2</v>
      </c>
      <c r="X4" s="7">
        <v>3.5999999999999997E-2</v>
      </c>
      <c r="Y4" s="7">
        <v>4.2000000000000003E-2</v>
      </c>
      <c r="Z4" s="55">
        <f t="shared" si="0"/>
        <v>5.6000000000000008E-3</v>
      </c>
      <c r="AA4" s="55">
        <f t="shared" si="0"/>
        <v>1.7999999999999999E-2</v>
      </c>
      <c r="AB4" s="55">
        <f t="shared" si="0"/>
        <v>1.04E-2</v>
      </c>
      <c r="AC4" s="55">
        <f t="shared" si="0"/>
        <v>1.44E-2</v>
      </c>
      <c r="AD4" s="55">
        <f t="shared" si="0"/>
        <v>1.6800000000000002E-2</v>
      </c>
      <c r="AE4" s="4">
        <v>5</v>
      </c>
      <c r="AF4" s="22">
        <v>217</v>
      </c>
      <c r="AG4" s="4">
        <v>5</v>
      </c>
      <c r="AH4" s="22"/>
      <c r="AI4" s="4">
        <f t="shared" si="1"/>
        <v>0.1386</v>
      </c>
      <c r="AJ4" s="3">
        <v>5</v>
      </c>
      <c r="AK4" s="24">
        <v>217</v>
      </c>
    </row>
    <row r="5" spans="1:37" x14ac:dyDescent="0.25">
      <c r="A5" s="23" t="s">
        <v>15</v>
      </c>
      <c r="B5" s="24" t="s">
        <v>289</v>
      </c>
      <c r="D5" s="4">
        <v>5</v>
      </c>
      <c r="E5" s="4">
        <v>5</v>
      </c>
      <c r="F5" s="4">
        <v>5</v>
      </c>
      <c r="G5" s="4">
        <v>5</v>
      </c>
      <c r="H5" s="4">
        <v>5</v>
      </c>
      <c r="I5" s="4">
        <v>5</v>
      </c>
      <c r="J5" s="4">
        <v>5</v>
      </c>
      <c r="K5" s="4">
        <v>5</v>
      </c>
      <c r="L5" s="4">
        <v>5</v>
      </c>
      <c r="M5" s="4">
        <v>5</v>
      </c>
      <c r="N5" s="4">
        <v>5</v>
      </c>
      <c r="O5" s="4">
        <v>5</v>
      </c>
      <c r="P5" s="7">
        <v>0.9</v>
      </c>
      <c r="Q5" s="7">
        <v>0.9</v>
      </c>
      <c r="R5" s="7">
        <v>0.9</v>
      </c>
      <c r="S5" s="7">
        <v>0.9</v>
      </c>
      <c r="T5" s="7">
        <v>0.9</v>
      </c>
      <c r="U5" s="7">
        <v>0</v>
      </c>
      <c r="V5" s="7">
        <v>0</v>
      </c>
      <c r="W5" s="7">
        <v>0</v>
      </c>
      <c r="X5" s="7">
        <v>0</v>
      </c>
      <c r="Y5" s="7">
        <v>0</v>
      </c>
      <c r="Z5" s="55">
        <f t="shared" si="0"/>
        <v>0</v>
      </c>
      <c r="AA5" s="55">
        <f t="shared" si="0"/>
        <v>0</v>
      </c>
      <c r="AB5" s="55">
        <f t="shared" si="0"/>
        <v>0</v>
      </c>
      <c r="AC5" s="55">
        <f t="shared" si="0"/>
        <v>0</v>
      </c>
      <c r="AD5" s="55">
        <f t="shared" si="0"/>
        <v>0</v>
      </c>
      <c r="AE5" s="4">
        <v>5</v>
      </c>
      <c r="AF5" s="22">
        <v>218</v>
      </c>
      <c r="AG5" s="4">
        <v>5</v>
      </c>
      <c r="AH5" s="22"/>
      <c r="AI5" s="4">
        <f t="shared" si="1"/>
        <v>0.1386</v>
      </c>
      <c r="AJ5" s="3">
        <v>5</v>
      </c>
      <c r="AK5" s="24">
        <v>218</v>
      </c>
    </row>
    <row r="6" spans="1:37" x14ac:dyDescent="0.25">
      <c r="A6" s="23" t="s">
        <v>16</v>
      </c>
      <c r="B6" s="24" t="s">
        <v>289</v>
      </c>
      <c r="D6" s="4">
        <v>5</v>
      </c>
      <c r="E6" s="4">
        <v>5</v>
      </c>
      <c r="F6" s="4">
        <v>5</v>
      </c>
      <c r="G6" s="4">
        <v>5</v>
      </c>
      <c r="H6" s="4">
        <v>5</v>
      </c>
      <c r="I6" s="4">
        <v>5</v>
      </c>
      <c r="J6" s="4">
        <v>5</v>
      </c>
      <c r="K6" s="4">
        <v>5</v>
      </c>
      <c r="L6" s="4">
        <v>5</v>
      </c>
      <c r="M6" s="4">
        <v>5</v>
      </c>
      <c r="N6" s="4">
        <v>5</v>
      </c>
      <c r="O6" s="4">
        <v>5</v>
      </c>
      <c r="P6" s="7">
        <v>0.88636363636363602</v>
      </c>
      <c r="Q6" s="7">
        <v>0.91519434628975305</v>
      </c>
      <c r="R6" s="7">
        <v>0.93487394957983205</v>
      </c>
      <c r="S6" s="7">
        <v>0.91752577319587603</v>
      </c>
      <c r="T6" s="7">
        <v>0.95541401273885396</v>
      </c>
      <c r="U6" s="7">
        <v>2.7E-2</v>
      </c>
      <c r="V6" s="7">
        <v>8.2000000000000003E-2</v>
      </c>
      <c r="W6" s="7">
        <v>4.2999999999999997E-2</v>
      </c>
      <c r="X6" s="7">
        <v>6.2E-2</v>
      </c>
      <c r="Y6" s="7">
        <v>7.1999999999999995E-2</v>
      </c>
      <c r="Z6" s="55">
        <f t="shared" si="0"/>
        <v>1.0800000000000001E-2</v>
      </c>
      <c r="AA6" s="55">
        <f t="shared" si="0"/>
        <v>3.2800000000000003E-2</v>
      </c>
      <c r="AB6" s="55">
        <f t="shared" si="0"/>
        <v>1.72E-2</v>
      </c>
      <c r="AC6" s="55">
        <f t="shared" si="0"/>
        <v>2.4800000000000003E-2</v>
      </c>
      <c r="AD6" s="55">
        <f t="shared" si="0"/>
        <v>2.8799999999999999E-2</v>
      </c>
      <c r="AE6" s="4">
        <v>5</v>
      </c>
      <c r="AF6" s="22">
        <v>137</v>
      </c>
      <c r="AG6" s="4">
        <v>5</v>
      </c>
      <c r="AH6" s="22"/>
      <c r="AI6" s="4">
        <f t="shared" si="1"/>
        <v>0.1386</v>
      </c>
      <c r="AJ6" s="3">
        <v>5</v>
      </c>
      <c r="AK6" s="24">
        <v>137</v>
      </c>
    </row>
    <row r="7" spans="1:37" x14ac:dyDescent="0.25">
      <c r="A7" s="23" t="s">
        <v>17</v>
      </c>
      <c r="B7" s="24" t="s">
        <v>289</v>
      </c>
      <c r="D7" s="4">
        <v>5</v>
      </c>
      <c r="E7" s="4">
        <v>5</v>
      </c>
      <c r="F7" s="4">
        <v>5</v>
      </c>
      <c r="G7" s="4">
        <v>5</v>
      </c>
      <c r="H7" s="4">
        <v>5</v>
      </c>
      <c r="I7" s="4">
        <v>5</v>
      </c>
      <c r="J7" s="4">
        <v>5</v>
      </c>
      <c r="K7" s="4">
        <v>5</v>
      </c>
      <c r="L7" s="4">
        <v>5</v>
      </c>
      <c r="M7" s="4">
        <v>5</v>
      </c>
      <c r="N7" s="4">
        <v>5</v>
      </c>
      <c r="O7" s="4">
        <v>5</v>
      </c>
      <c r="P7" s="7">
        <v>0.90997566909975702</v>
      </c>
      <c r="Q7" s="7">
        <v>0.867088607594937</v>
      </c>
      <c r="R7" s="7">
        <v>0.90839694656488501</v>
      </c>
      <c r="S7" s="7">
        <v>0.92993630573248398</v>
      </c>
      <c r="T7" s="7">
        <v>0.87429854096520798</v>
      </c>
      <c r="U7" s="7">
        <v>1.4E-2</v>
      </c>
      <c r="V7" s="7">
        <v>0.04</v>
      </c>
      <c r="W7" s="7">
        <v>2.4E-2</v>
      </c>
      <c r="X7" s="7">
        <v>3.2000000000000001E-2</v>
      </c>
      <c r="Y7" s="7">
        <v>3.6999999999999998E-2</v>
      </c>
      <c r="Z7" s="55">
        <f t="shared" si="0"/>
        <v>5.6000000000000008E-3</v>
      </c>
      <c r="AA7" s="55">
        <f t="shared" si="0"/>
        <v>1.6E-2</v>
      </c>
      <c r="AB7" s="55">
        <f t="shared" si="0"/>
        <v>9.6000000000000009E-3</v>
      </c>
      <c r="AC7" s="55">
        <f t="shared" si="0"/>
        <v>1.2800000000000001E-2</v>
      </c>
      <c r="AD7" s="55">
        <f t="shared" si="0"/>
        <v>1.4800000000000001E-2</v>
      </c>
      <c r="AE7" s="4">
        <v>5</v>
      </c>
      <c r="AF7" s="22">
        <v>210</v>
      </c>
      <c r="AG7" s="4">
        <v>5</v>
      </c>
      <c r="AH7" s="22">
        <v>0.05</v>
      </c>
      <c r="AI7" s="4">
        <f t="shared" si="1"/>
        <v>0.1386</v>
      </c>
      <c r="AJ7" s="3">
        <v>5</v>
      </c>
      <c r="AK7" s="24">
        <v>210</v>
      </c>
    </row>
    <row r="8" spans="1:37" x14ac:dyDescent="0.25">
      <c r="A8" s="23" t="s">
        <v>18</v>
      </c>
      <c r="B8" s="24" t="s">
        <v>289</v>
      </c>
      <c r="D8" s="4">
        <v>5</v>
      </c>
      <c r="E8" s="4">
        <v>5</v>
      </c>
      <c r="F8" s="4">
        <v>5</v>
      </c>
      <c r="G8" s="4">
        <v>5</v>
      </c>
      <c r="H8" s="4">
        <v>5</v>
      </c>
      <c r="I8" s="4">
        <v>5</v>
      </c>
      <c r="J8" s="4">
        <v>5</v>
      </c>
      <c r="K8" s="4">
        <v>5</v>
      </c>
      <c r="L8" s="4">
        <v>5</v>
      </c>
      <c r="M8" s="4">
        <v>5</v>
      </c>
      <c r="N8" s="4">
        <v>5</v>
      </c>
      <c r="O8" s="4">
        <v>5</v>
      </c>
      <c r="P8" s="7">
        <v>0.88690476190476197</v>
      </c>
      <c r="Q8" s="7">
        <v>0.97311827956989205</v>
      </c>
      <c r="R8" s="7">
        <v>0.93904761904761902</v>
      </c>
      <c r="S8" s="7">
        <v>0.93809523809523798</v>
      </c>
      <c r="T8" s="7">
        <v>0.89295774647887305</v>
      </c>
      <c r="U8" s="7">
        <v>0.02</v>
      </c>
      <c r="V8" s="7">
        <v>6.2E-2</v>
      </c>
      <c r="W8" s="7">
        <v>3.5000000000000003E-2</v>
      </c>
      <c r="X8" s="7">
        <v>4.8000000000000001E-2</v>
      </c>
      <c r="Y8" s="7">
        <v>5.5E-2</v>
      </c>
      <c r="Z8" s="55">
        <f t="shared" si="0"/>
        <v>8.0000000000000002E-3</v>
      </c>
      <c r="AA8" s="55">
        <f t="shared" si="0"/>
        <v>2.4800000000000003E-2</v>
      </c>
      <c r="AB8" s="55">
        <f t="shared" si="0"/>
        <v>1.4000000000000002E-2</v>
      </c>
      <c r="AC8" s="55">
        <f t="shared" si="0"/>
        <v>1.9200000000000002E-2</v>
      </c>
      <c r="AD8" s="55">
        <f t="shared" si="0"/>
        <v>2.2000000000000002E-2</v>
      </c>
      <c r="AE8" s="4">
        <v>5</v>
      </c>
      <c r="AF8" s="22">
        <v>213</v>
      </c>
      <c r="AG8" s="4">
        <v>5</v>
      </c>
      <c r="AH8" s="22">
        <v>0.05</v>
      </c>
      <c r="AI8" s="4">
        <f t="shared" si="1"/>
        <v>0.1386</v>
      </c>
      <c r="AJ8" s="3">
        <v>5</v>
      </c>
      <c r="AK8" s="24">
        <v>213</v>
      </c>
    </row>
    <row r="9" spans="1:37" x14ac:dyDescent="0.25">
      <c r="A9" s="23" t="s">
        <v>19</v>
      </c>
      <c r="B9" s="24" t="s">
        <v>289</v>
      </c>
      <c r="D9" s="4">
        <v>5</v>
      </c>
      <c r="E9" s="4">
        <v>5</v>
      </c>
      <c r="F9" s="4">
        <v>5</v>
      </c>
      <c r="G9" s="4">
        <v>5</v>
      </c>
      <c r="H9" s="4">
        <v>5</v>
      </c>
      <c r="I9" s="4">
        <v>5</v>
      </c>
      <c r="J9" s="4">
        <v>5</v>
      </c>
      <c r="K9" s="4">
        <v>5</v>
      </c>
      <c r="L9" s="4">
        <v>5</v>
      </c>
      <c r="M9" s="4">
        <v>5</v>
      </c>
      <c r="N9" s="4">
        <v>5</v>
      </c>
      <c r="O9" s="4">
        <v>5</v>
      </c>
      <c r="P9" s="7">
        <v>0.86585365853658502</v>
      </c>
      <c r="Q9" s="7">
        <v>0.94236311239193105</v>
      </c>
      <c r="R9" s="7">
        <v>0.934579439252336</v>
      </c>
      <c r="S9" s="7">
        <v>0.94453004622496095</v>
      </c>
      <c r="T9" s="7">
        <v>0.9375</v>
      </c>
      <c r="U9" s="7">
        <v>3.9E-2</v>
      </c>
      <c r="V9" s="7">
        <v>0.13</v>
      </c>
      <c r="W9" s="7">
        <v>6.4000000000000001E-2</v>
      </c>
      <c r="X9" s="7">
        <v>0.09</v>
      </c>
      <c r="Y9" s="7">
        <v>0.11</v>
      </c>
      <c r="Z9" s="55">
        <f t="shared" si="0"/>
        <v>1.5600000000000001E-2</v>
      </c>
      <c r="AA9" s="55">
        <f t="shared" si="0"/>
        <v>5.2000000000000005E-2</v>
      </c>
      <c r="AB9" s="55">
        <f t="shared" si="0"/>
        <v>2.5600000000000001E-2</v>
      </c>
      <c r="AC9" s="55">
        <f t="shared" si="0"/>
        <v>3.5999999999999997E-2</v>
      </c>
      <c r="AD9" s="55">
        <f t="shared" si="0"/>
        <v>4.4000000000000004E-2</v>
      </c>
      <c r="AE9" s="4">
        <v>5</v>
      </c>
      <c r="AF9" s="22">
        <v>214</v>
      </c>
      <c r="AG9" s="4">
        <v>5</v>
      </c>
      <c r="AH9" s="22">
        <v>0.05</v>
      </c>
      <c r="AI9" s="4">
        <f t="shared" si="1"/>
        <v>0.1386</v>
      </c>
      <c r="AJ9" s="3">
        <v>5</v>
      </c>
      <c r="AK9" s="24">
        <v>214</v>
      </c>
    </row>
    <row r="10" spans="1:37" x14ac:dyDescent="0.25">
      <c r="A10" s="25" t="s">
        <v>20</v>
      </c>
      <c r="B10" s="24" t="s">
        <v>275</v>
      </c>
      <c r="D10" s="4">
        <v>5</v>
      </c>
      <c r="E10" s="4">
        <v>5</v>
      </c>
      <c r="F10" s="4">
        <v>5</v>
      </c>
      <c r="G10" s="4">
        <v>5</v>
      </c>
      <c r="H10" s="4">
        <v>5</v>
      </c>
      <c r="I10" s="4">
        <v>5</v>
      </c>
      <c r="J10" s="4">
        <v>5</v>
      </c>
      <c r="K10" s="4">
        <v>5</v>
      </c>
      <c r="L10" s="4">
        <v>5</v>
      </c>
      <c r="M10" s="4">
        <v>5</v>
      </c>
      <c r="N10" s="4">
        <v>5</v>
      </c>
      <c r="O10" s="4">
        <v>5</v>
      </c>
      <c r="P10" s="7">
        <v>0.90521327014218</v>
      </c>
      <c r="Q10" s="7">
        <v>0.85365853658536595</v>
      </c>
      <c r="R10" s="7">
        <v>0.91304347826086996</v>
      </c>
      <c r="S10" s="7">
        <v>0.92797118847538995</v>
      </c>
      <c r="T10" s="7">
        <v>0.87368421052631595</v>
      </c>
      <c r="U10" s="7">
        <v>2.7E-2</v>
      </c>
      <c r="V10" s="7">
        <v>7.4999999999999997E-2</v>
      </c>
      <c r="W10" s="7">
        <v>4.4999999999999998E-2</v>
      </c>
      <c r="X10" s="7">
        <v>6.2E-2</v>
      </c>
      <c r="Y10" s="7">
        <v>7.1999999999999995E-2</v>
      </c>
      <c r="Z10" s="55">
        <f t="shared" si="0"/>
        <v>1.0800000000000001E-2</v>
      </c>
      <c r="AA10" s="55">
        <f t="shared" si="0"/>
        <v>0.03</v>
      </c>
      <c r="AB10" s="55">
        <f t="shared" si="0"/>
        <v>1.7999999999999999E-2</v>
      </c>
      <c r="AC10" s="55">
        <f t="shared" si="0"/>
        <v>2.4800000000000003E-2</v>
      </c>
      <c r="AD10" s="55">
        <f t="shared" si="0"/>
        <v>2.8799999999999999E-2</v>
      </c>
      <c r="AE10" s="4">
        <v>5</v>
      </c>
      <c r="AF10" s="22">
        <v>137</v>
      </c>
      <c r="AG10" s="4">
        <v>5</v>
      </c>
      <c r="AH10" s="22">
        <v>1</v>
      </c>
      <c r="AI10" s="4">
        <f t="shared" si="1"/>
        <v>0.1386</v>
      </c>
      <c r="AJ10" s="3">
        <v>5</v>
      </c>
      <c r="AK10" s="24">
        <v>137</v>
      </c>
    </row>
    <row r="11" spans="1:37" x14ac:dyDescent="0.25">
      <c r="A11" s="23" t="s">
        <v>21</v>
      </c>
      <c r="B11" s="24" t="s">
        <v>289</v>
      </c>
      <c r="D11" s="4">
        <v>5</v>
      </c>
      <c r="E11" s="4">
        <v>5</v>
      </c>
      <c r="F11" s="4">
        <v>5</v>
      </c>
      <c r="G11" s="4">
        <v>5</v>
      </c>
      <c r="H11" s="4">
        <v>5</v>
      </c>
      <c r="I11" s="4">
        <v>5</v>
      </c>
      <c r="J11" s="4">
        <v>5</v>
      </c>
      <c r="K11" s="4">
        <v>5</v>
      </c>
      <c r="L11" s="4">
        <v>5</v>
      </c>
      <c r="M11" s="4">
        <v>5</v>
      </c>
      <c r="N11" s="4">
        <v>5</v>
      </c>
      <c r="O11" s="4">
        <v>5</v>
      </c>
      <c r="P11" s="7">
        <v>0.92753623188405798</v>
      </c>
      <c r="Q11" s="7">
        <v>0.82352941176470595</v>
      </c>
      <c r="R11" s="7">
        <v>0.890625</v>
      </c>
      <c r="S11" s="7">
        <v>0.908496732026144</v>
      </c>
      <c r="T11" s="7">
        <v>0.88038277511961704</v>
      </c>
      <c r="U11" s="7">
        <v>9.7999999999999997E-3</v>
      </c>
      <c r="V11" s="7">
        <v>2.5999999999999999E-2</v>
      </c>
      <c r="W11" s="7">
        <v>1.9E-2</v>
      </c>
      <c r="X11" s="7">
        <v>2.4E-2</v>
      </c>
      <c r="Y11" s="7">
        <v>2.5999999999999999E-2</v>
      </c>
      <c r="Z11" s="55">
        <f t="shared" si="0"/>
        <v>3.9199999999999999E-3</v>
      </c>
      <c r="AA11" s="55">
        <f t="shared" si="0"/>
        <v>1.04E-2</v>
      </c>
      <c r="AB11" s="55">
        <f t="shared" si="0"/>
        <v>7.6E-3</v>
      </c>
      <c r="AC11" s="55">
        <f t="shared" si="0"/>
        <v>9.6000000000000009E-3</v>
      </c>
      <c r="AD11" s="55">
        <f t="shared" si="0"/>
        <v>1.04E-2</v>
      </c>
      <c r="AE11" s="4">
        <v>5</v>
      </c>
      <c r="AF11" s="22">
        <v>221</v>
      </c>
      <c r="AG11" s="4">
        <v>5</v>
      </c>
      <c r="AH11" s="22"/>
      <c r="AI11" s="4">
        <f t="shared" si="1"/>
        <v>0.1386</v>
      </c>
      <c r="AJ11" s="3">
        <v>5</v>
      </c>
      <c r="AK11" s="24">
        <v>221</v>
      </c>
    </row>
    <row r="12" spans="1:37" x14ac:dyDescent="0.25">
      <c r="A12" s="23" t="s">
        <v>22</v>
      </c>
      <c r="B12" s="24" t="s">
        <v>289</v>
      </c>
      <c r="D12" s="4">
        <v>5</v>
      </c>
      <c r="E12" s="4">
        <v>5</v>
      </c>
      <c r="F12" s="4">
        <v>5</v>
      </c>
      <c r="G12" s="4">
        <v>5</v>
      </c>
      <c r="H12" s="4">
        <v>5</v>
      </c>
      <c r="I12" s="4">
        <v>5</v>
      </c>
      <c r="J12" s="4">
        <v>5</v>
      </c>
      <c r="K12" s="4">
        <v>5</v>
      </c>
      <c r="L12" s="4">
        <v>5</v>
      </c>
      <c r="M12" s="4">
        <v>5</v>
      </c>
      <c r="N12" s="4">
        <v>5</v>
      </c>
      <c r="O12" s="4">
        <v>5</v>
      </c>
      <c r="P12" s="7">
        <v>0.90184049079754602</v>
      </c>
      <c r="Q12" s="7">
        <v>0.89376053962900504</v>
      </c>
      <c r="R12" s="7">
        <v>0.92254901960784297</v>
      </c>
      <c r="S12" s="7">
        <v>0.92845528455284598</v>
      </c>
      <c r="T12" s="7">
        <v>0.88405797101449302</v>
      </c>
      <c r="U12" s="7">
        <v>1.6E-2</v>
      </c>
      <c r="V12" s="7">
        <v>0.05</v>
      </c>
      <c r="W12" s="7">
        <v>2.7E-2</v>
      </c>
      <c r="X12" s="7">
        <v>3.6999999999999998E-2</v>
      </c>
      <c r="Y12" s="7">
        <v>4.3999999999999997E-2</v>
      </c>
      <c r="Z12" s="55">
        <f t="shared" si="0"/>
        <v>6.4000000000000003E-3</v>
      </c>
      <c r="AA12" s="55">
        <f t="shared" si="0"/>
        <v>2.0000000000000004E-2</v>
      </c>
      <c r="AB12" s="55">
        <f t="shared" si="0"/>
        <v>1.0800000000000001E-2</v>
      </c>
      <c r="AC12" s="55">
        <f t="shared" si="0"/>
        <v>1.4800000000000001E-2</v>
      </c>
      <c r="AD12" s="55">
        <f t="shared" si="0"/>
        <v>1.7600000000000001E-2</v>
      </c>
      <c r="AE12" s="4">
        <v>5</v>
      </c>
      <c r="AF12" s="22">
        <v>206</v>
      </c>
      <c r="AG12" s="4">
        <v>5</v>
      </c>
      <c r="AH12" s="22"/>
      <c r="AI12" s="4">
        <f t="shared" si="1"/>
        <v>0.1386</v>
      </c>
      <c r="AJ12" s="3">
        <v>5</v>
      </c>
      <c r="AK12" s="24">
        <v>206</v>
      </c>
    </row>
    <row r="13" spans="1:37" x14ac:dyDescent="0.25">
      <c r="A13" s="23" t="s">
        <v>23</v>
      </c>
      <c r="B13" s="24" t="s">
        <v>289</v>
      </c>
      <c r="D13" s="4">
        <v>5</v>
      </c>
      <c r="E13" s="4">
        <v>5</v>
      </c>
      <c r="F13" s="4">
        <v>5</v>
      </c>
      <c r="G13" s="4">
        <v>5</v>
      </c>
      <c r="H13" s="4">
        <v>5</v>
      </c>
      <c r="I13" s="4">
        <v>5</v>
      </c>
      <c r="J13" s="4">
        <v>5</v>
      </c>
      <c r="K13" s="4">
        <v>5</v>
      </c>
      <c r="L13" s="4">
        <v>5</v>
      </c>
      <c r="M13" s="4">
        <v>5</v>
      </c>
      <c r="N13" s="4">
        <v>5</v>
      </c>
      <c r="O13" s="4">
        <v>5</v>
      </c>
      <c r="P13" s="7">
        <v>0.98969072164948502</v>
      </c>
      <c r="Q13" s="7">
        <v>0.98540145985401395</v>
      </c>
      <c r="R13" s="7">
        <v>0.95212765957446799</v>
      </c>
      <c r="S13" s="7">
        <v>0.93488372093023298</v>
      </c>
      <c r="T13" s="7">
        <v>0.93722466960352402</v>
      </c>
      <c r="U13" s="7">
        <v>2.7999999999999998E-4</v>
      </c>
      <c r="V13" s="7">
        <v>5.8999999999999999E-3</v>
      </c>
      <c r="W13" s="7">
        <v>2.8E-3</v>
      </c>
      <c r="X13" s="7">
        <v>4.7999999999999996E-3</v>
      </c>
      <c r="Y13" s="7">
        <v>5.7999999999999996E-3</v>
      </c>
      <c r="Z13" s="55">
        <f t="shared" si="0"/>
        <v>1.12E-4</v>
      </c>
      <c r="AA13" s="55">
        <f t="shared" si="0"/>
        <v>2.3600000000000001E-3</v>
      </c>
      <c r="AB13" s="55">
        <f t="shared" si="0"/>
        <v>1.1200000000000001E-3</v>
      </c>
      <c r="AC13" s="55">
        <f t="shared" si="0"/>
        <v>1.9199999999999998E-3</v>
      </c>
      <c r="AD13" s="55">
        <f t="shared" si="0"/>
        <v>2.32E-3</v>
      </c>
      <c r="AE13" s="4">
        <v>5</v>
      </c>
      <c r="AF13" s="22">
        <v>237</v>
      </c>
      <c r="AG13" s="4">
        <v>5</v>
      </c>
      <c r="AH13" s="22">
        <v>5.0000000000000001E-4</v>
      </c>
      <c r="AI13" s="4">
        <f t="shared" si="1"/>
        <v>0.1386</v>
      </c>
      <c r="AJ13" s="3">
        <v>5</v>
      </c>
      <c r="AK13" s="24">
        <v>237</v>
      </c>
    </row>
    <row r="14" spans="1:37" x14ac:dyDescent="0.25">
      <c r="A14" s="23" t="s">
        <v>24</v>
      </c>
      <c r="B14" s="24" t="s">
        <v>289</v>
      </c>
      <c r="D14" s="4">
        <v>5</v>
      </c>
      <c r="E14" s="4">
        <v>5</v>
      </c>
      <c r="F14" s="4">
        <v>5</v>
      </c>
      <c r="G14" s="4">
        <v>5</v>
      </c>
      <c r="H14" s="4">
        <v>5</v>
      </c>
      <c r="I14" s="4">
        <v>5</v>
      </c>
      <c r="J14" s="4">
        <v>5</v>
      </c>
      <c r="K14" s="4">
        <v>5</v>
      </c>
      <c r="L14" s="4">
        <v>5</v>
      </c>
      <c r="M14" s="4">
        <v>5</v>
      </c>
      <c r="N14" s="4">
        <v>5</v>
      </c>
      <c r="O14" s="4">
        <v>5</v>
      </c>
      <c r="P14" s="7">
        <v>0.93203883495145601</v>
      </c>
      <c r="Q14" s="7">
        <v>0.922115384615385</v>
      </c>
      <c r="R14" s="7">
        <v>0.92718446601941695</v>
      </c>
      <c r="S14" s="7">
        <v>0.93043478260869505</v>
      </c>
      <c r="T14" s="7">
        <v>0.88959999999999995</v>
      </c>
      <c r="U14" s="7">
        <v>8.2000000000000007E-3</v>
      </c>
      <c r="V14" s="7">
        <v>4.2000000000000003E-2</v>
      </c>
      <c r="W14" s="7">
        <v>2.3E-2</v>
      </c>
      <c r="X14" s="7">
        <v>3.1E-2</v>
      </c>
      <c r="Y14" s="7">
        <v>3.6999999999999998E-2</v>
      </c>
      <c r="Z14" s="55">
        <f t="shared" si="0"/>
        <v>3.2800000000000004E-3</v>
      </c>
      <c r="AA14" s="55">
        <f t="shared" si="0"/>
        <v>1.6800000000000002E-2</v>
      </c>
      <c r="AB14" s="55">
        <f t="shared" si="0"/>
        <v>9.1999999999999998E-3</v>
      </c>
      <c r="AC14" s="55">
        <f t="shared" si="0"/>
        <v>1.2400000000000001E-2</v>
      </c>
      <c r="AD14" s="55">
        <f t="shared" si="0"/>
        <v>1.4800000000000001E-2</v>
      </c>
      <c r="AE14" s="4">
        <v>5</v>
      </c>
      <c r="AF14" s="22">
        <v>233</v>
      </c>
      <c r="AG14" s="4">
        <v>5</v>
      </c>
      <c r="AH14" s="22">
        <v>5.0000000000000001E-4</v>
      </c>
      <c r="AI14" s="4">
        <f t="shared" si="1"/>
        <v>0.1386</v>
      </c>
      <c r="AJ14" s="3">
        <v>5</v>
      </c>
      <c r="AK14" s="24">
        <v>233</v>
      </c>
    </row>
    <row r="15" spans="1:37" x14ac:dyDescent="0.25">
      <c r="A15" s="23" t="s">
        <v>25</v>
      </c>
      <c r="B15" s="24" t="s">
        <v>289</v>
      </c>
      <c r="D15" s="4">
        <v>5</v>
      </c>
      <c r="E15" s="4">
        <v>5</v>
      </c>
      <c r="F15" s="4">
        <v>5</v>
      </c>
      <c r="G15" s="4">
        <v>5</v>
      </c>
      <c r="H15" s="4">
        <v>5</v>
      </c>
      <c r="I15" s="4">
        <v>5</v>
      </c>
      <c r="J15" s="4">
        <v>5</v>
      </c>
      <c r="K15" s="4">
        <v>5</v>
      </c>
      <c r="L15" s="4">
        <v>5</v>
      </c>
      <c r="M15" s="4">
        <v>5</v>
      </c>
      <c r="N15" s="4">
        <v>5</v>
      </c>
      <c r="O15" s="4">
        <v>5</v>
      </c>
      <c r="P15" s="7">
        <v>0.9</v>
      </c>
      <c r="Q15" s="7">
        <v>0.9</v>
      </c>
      <c r="R15" s="7">
        <v>0.9</v>
      </c>
      <c r="S15" s="7">
        <v>0.9</v>
      </c>
      <c r="T15" s="7">
        <v>0.9</v>
      </c>
      <c r="U15" s="7">
        <v>0</v>
      </c>
      <c r="V15" s="7">
        <v>0</v>
      </c>
      <c r="W15" s="7">
        <v>0</v>
      </c>
      <c r="X15" s="7">
        <v>0</v>
      </c>
      <c r="Y15" s="7">
        <v>0</v>
      </c>
      <c r="Z15" s="55">
        <f t="shared" si="0"/>
        <v>0</v>
      </c>
      <c r="AA15" s="55">
        <f t="shared" si="0"/>
        <v>0</v>
      </c>
      <c r="AB15" s="55">
        <f t="shared" si="0"/>
        <v>0</v>
      </c>
      <c r="AC15" s="55">
        <f t="shared" si="0"/>
        <v>0</v>
      </c>
      <c r="AD15" s="55">
        <f t="shared" si="0"/>
        <v>0</v>
      </c>
      <c r="AE15" s="4">
        <v>5</v>
      </c>
      <c r="AF15" s="22">
        <v>209</v>
      </c>
      <c r="AG15" s="4">
        <v>5</v>
      </c>
      <c r="AH15" s="22">
        <v>0.2</v>
      </c>
      <c r="AI15" s="4">
        <f t="shared" si="1"/>
        <v>0.1386</v>
      </c>
      <c r="AJ15" s="3">
        <v>5</v>
      </c>
      <c r="AK15" s="24">
        <v>209</v>
      </c>
    </row>
    <row r="16" spans="1:37" x14ac:dyDescent="0.25">
      <c r="A16" s="23" t="s">
        <v>26</v>
      </c>
      <c r="B16" s="24" t="s">
        <v>289</v>
      </c>
      <c r="D16" s="4">
        <v>5</v>
      </c>
      <c r="E16" s="4">
        <v>5</v>
      </c>
      <c r="F16" s="4">
        <v>5</v>
      </c>
      <c r="G16" s="4">
        <v>5</v>
      </c>
      <c r="H16" s="4">
        <v>5</v>
      </c>
      <c r="I16" s="4">
        <v>5</v>
      </c>
      <c r="J16" s="4">
        <v>5</v>
      </c>
      <c r="K16" s="4">
        <v>5</v>
      </c>
      <c r="L16" s="4">
        <v>5</v>
      </c>
      <c r="M16" s="4">
        <v>5</v>
      </c>
      <c r="N16" s="4">
        <v>5</v>
      </c>
      <c r="O16" s="4">
        <v>5</v>
      </c>
      <c r="P16" s="7">
        <v>1</v>
      </c>
      <c r="Q16" s="7">
        <v>0.94642857142857095</v>
      </c>
      <c r="R16" s="7">
        <v>0.97425742574257401</v>
      </c>
      <c r="S16" s="7">
        <v>0.94932432432432401</v>
      </c>
      <c r="T16" s="7">
        <v>0.94444444444444398</v>
      </c>
      <c r="U16" s="7">
        <v>9.9999999999999995E-8</v>
      </c>
      <c r="V16" s="7">
        <v>4.4000000000000002E-6</v>
      </c>
      <c r="W16" s="7">
        <v>2.3999999999999999E-6</v>
      </c>
      <c r="X16" s="7">
        <v>4.0999999999999997E-6</v>
      </c>
      <c r="Y16" s="7">
        <v>4.0999999999999997E-6</v>
      </c>
      <c r="Z16" s="55">
        <f t="shared" si="0"/>
        <v>4.0000000000000001E-8</v>
      </c>
      <c r="AA16" s="55">
        <f t="shared" si="0"/>
        <v>1.7600000000000001E-6</v>
      </c>
      <c r="AB16" s="55">
        <f t="shared" si="0"/>
        <v>9.5999999999999991E-7</v>
      </c>
      <c r="AC16" s="55">
        <f t="shared" si="0"/>
        <v>1.64E-6</v>
      </c>
      <c r="AD16" s="55">
        <f t="shared" si="0"/>
        <v>1.64E-6</v>
      </c>
      <c r="AE16" s="4">
        <v>5</v>
      </c>
      <c r="AF16" s="22">
        <v>210</v>
      </c>
      <c r="AG16" s="4">
        <v>5</v>
      </c>
      <c r="AH16" s="22">
        <v>0.2</v>
      </c>
      <c r="AI16" s="4">
        <f t="shared" si="1"/>
        <v>0.1386</v>
      </c>
      <c r="AJ16" s="3">
        <v>5</v>
      </c>
      <c r="AK16" s="24">
        <v>210</v>
      </c>
    </row>
    <row r="17" spans="1:37" x14ac:dyDescent="0.25">
      <c r="A17" s="23" t="s">
        <v>27</v>
      </c>
      <c r="B17" s="24" t="s">
        <v>289</v>
      </c>
      <c r="D17" s="4">
        <v>5</v>
      </c>
      <c r="E17" s="4">
        <v>5</v>
      </c>
      <c r="F17" s="4">
        <v>5</v>
      </c>
      <c r="G17" s="4">
        <v>5</v>
      </c>
      <c r="H17" s="4">
        <v>5</v>
      </c>
      <c r="I17" s="4">
        <v>5</v>
      </c>
      <c r="J17" s="4">
        <v>5</v>
      </c>
      <c r="K17" s="4">
        <v>5</v>
      </c>
      <c r="L17" s="4">
        <v>5</v>
      </c>
      <c r="M17" s="4">
        <v>5</v>
      </c>
      <c r="N17" s="4">
        <v>5</v>
      </c>
      <c r="O17" s="4">
        <v>5</v>
      </c>
      <c r="P17" s="7">
        <v>0.901685393258427</v>
      </c>
      <c r="Q17" s="7">
        <v>0.92436974789916004</v>
      </c>
      <c r="R17" s="7">
        <v>0.92558139534883699</v>
      </c>
      <c r="S17" s="7">
        <v>0.9296875</v>
      </c>
      <c r="T17" s="7">
        <v>0.87916666666666698</v>
      </c>
      <c r="U17" s="7">
        <v>1.4999999999999999E-2</v>
      </c>
      <c r="V17" s="7">
        <v>4.9000000000000002E-2</v>
      </c>
      <c r="W17" s="7">
        <v>2.8000000000000001E-2</v>
      </c>
      <c r="X17" s="7">
        <v>3.6999999999999998E-2</v>
      </c>
      <c r="Y17" s="7">
        <v>4.3999999999999997E-2</v>
      </c>
      <c r="Z17" s="55">
        <f t="shared" si="0"/>
        <v>6.0000000000000001E-3</v>
      </c>
      <c r="AA17" s="55">
        <f t="shared" si="0"/>
        <v>1.9600000000000003E-2</v>
      </c>
      <c r="AB17" s="55">
        <f t="shared" si="0"/>
        <v>1.1200000000000002E-2</v>
      </c>
      <c r="AC17" s="55">
        <f t="shared" si="0"/>
        <v>1.4800000000000001E-2</v>
      </c>
      <c r="AD17" s="55">
        <f t="shared" si="0"/>
        <v>1.7600000000000001E-2</v>
      </c>
      <c r="AE17" s="4">
        <v>5</v>
      </c>
      <c r="AF17" s="22">
        <v>214</v>
      </c>
      <c r="AG17" s="4">
        <v>5</v>
      </c>
      <c r="AH17" s="22">
        <v>0.2</v>
      </c>
      <c r="AI17" s="4">
        <f t="shared" si="1"/>
        <v>0.1386</v>
      </c>
      <c r="AJ17" s="3">
        <v>5</v>
      </c>
      <c r="AK17" s="24">
        <v>214</v>
      </c>
    </row>
    <row r="18" spans="1:37" x14ac:dyDescent="0.25">
      <c r="A18" s="23" t="s">
        <v>28</v>
      </c>
      <c r="B18" s="24" t="s">
        <v>289</v>
      </c>
      <c r="D18" s="4">
        <v>5</v>
      </c>
      <c r="E18" s="4">
        <v>5</v>
      </c>
      <c r="F18" s="4">
        <v>5</v>
      </c>
      <c r="G18" s="4">
        <v>5</v>
      </c>
      <c r="H18" s="4">
        <v>5</v>
      </c>
      <c r="I18" s="4">
        <v>5</v>
      </c>
      <c r="J18" s="4">
        <v>5</v>
      </c>
      <c r="K18" s="4">
        <v>5</v>
      </c>
      <c r="L18" s="4">
        <v>5</v>
      </c>
      <c r="M18" s="4">
        <v>5</v>
      </c>
      <c r="N18" s="4">
        <v>5</v>
      </c>
      <c r="O18" s="4">
        <v>5</v>
      </c>
      <c r="P18" s="7">
        <v>0.88135593220339004</v>
      </c>
      <c r="Q18" s="7">
        <v>0.93612334801762098</v>
      </c>
      <c r="R18" s="7">
        <v>0.93633952254641895</v>
      </c>
      <c r="S18" s="7">
        <v>0.93013100436681195</v>
      </c>
      <c r="T18" s="7">
        <v>0.94466403162055301</v>
      </c>
      <c r="U18" s="7">
        <v>0.03</v>
      </c>
      <c r="V18" s="7">
        <v>9.5000000000000001E-2</v>
      </c>
      <c r="W18" s="7">
        <v>4.8000000000000001E-2</v>
      </c>
      <c r="X18" s="7">
        <v>6.9000000000000006E-2</v>
      </c>
      <c r="Y18" s="7">
        <v>8.2000000000000003E-2</v>
      </c>
      <c r="Z18" s="55">
        <f t="shared" ref="Z18:AD30" si="2">0.4*U18</f>
        <v>1.2E-2</v>
      </c>
      <c r="AA18" s="55">
        <f t="shared" si="2"/>
        <v>3.8000000000000006E-2</v>
      </c>
      <c r="AB18" s="55">
        <f t="shared" si="2"/>
        <v>1.9200000000000002E-2</v>
      </c>
      <c r="AC18" s="55">
        <f t="shared" si="2"/>
        <v>2.7600000000000003E-2</v>
      </c>
      <c r="AD18" s="55">
        <f t="shared" si="2"/>
        <v>3.2800000000000003E-2</v>
      </c>
      <c r="AE18" s="4">
        <v>5</v>
      </c>
      <c r="AF18" s="22">
        <v>210</v>
      </c>
      <c r="AG18" s="4">
        <v>5</v>
      </c>
      <c r="AH18" s="22"/>
      <c r="AI18" s="4">
        <f t="shared" si="1"/>
        <v>0.1386</v>
      </c>
      <c r="AJ18" s="3">
        <v>5</v>
      </c>
      <c r="AK18" s="24">
        <v>210</v>
      </c>
    </row>
    <row r="19" spans="1:37" x14ac:dyDescent="0.25">
      <c r="A19" s="23" t="s">
        <v>29</v>
      </c>
      <c r="B19" s="24" t="s">
        <v>289</v>
      </c>
      <c r="D19" s="4">
        <v>5</v>
      </c>
      <c r="E19" s="4">
        <v>5</v>
      </c>
      <c r="F19" s="4">
        <v>5</v>
      </c>
      <c r="G19" s="4">
        <v>5</v>
      </c>
      <c r="H19" s="4">
        <v>5</v>
      </c>
      <c r="I19" s="4">
        <v>5</v>
      </c>
      <c r="J19" s="4">
        <v>5</v>
      </c>
      <c r="K19" s="4">
        <v>5</v>
      </c>
      <c r="L19" s="4">
        <v>5</v>
      </c>
      <c r="M19" s="4">
        <v>5</v>
      </c>
      <c r="N19" s="4">
        <v>5</v>
      </c>
      <c r="O19" s="4">
        <v>5</v>
      </c>
      <c r="P19" s="7">
        <v>0.87991266375545796</v>
      </c>
      <c r="Q19" s="7">
        <v>0.93714285714285706</v>
      </c>
      <c r="R19" s="7">
        <v>0.93493150684931503</v>
      </c>
      <c r="S19" s="7">
        <v>0.93220338983050799</v>
      </c>
      <c r="T19" s="7">
        <v>0.94871794871794901</v>
      </c>
      <c r="U19" s="7">
        <v>2.9000000000000001E-2</v>
      </c>
      <c r="V19" s="7">
        <v>9.2999999999999999E-2</v>
      </c>
      <c r="W19" s="7">
        <v>4.7E-2</v>
      </c>
      <c r="X19" s="7">
        <v>6.8000000000000005E-2</v>
      </c>
      <c r="Y19" s="7">
        <v>0.08</v>
      </c>
      <c r="Z19" s="55">
        <f t="shared" si="2"/>
        <v>1.1600000000000001E-2</v>
      </c>
      <c r="AA19" s="55">
        <f t="shared" si="2"/>
        <v>3.7200000000000004E-2</v>
      </c>
      <c r="AB19" s="55">
        <f t="shared" si="2"/>
        <v>1.8800000000000001E-2</v>
      </c>
      <c r="AC19" s="55">
        <f t="shared" si="2"/>
        <v>2.7200000000000002E-2</v>
      </c>
      <c r="AD19" s="55">
        <f t="shared" si="2"/>
        <v>3.2000000000000001E-2</v>
      </c>
      <c r="AE19" s="4">
        <v>5</v>
      </c>
      <c r="AF19" s="22">
        <v>213</v>
      </c>
      <c r="AG19" s="4">
        <v>5</v>
      </c>
      <c r="AH19" s="22"/>
      <c r="AI19" s="4">
        <f t="shared" si="1"/>
        <v>0.1386</v>
      </c>
      <c r="AJ19" s="3">
        <v>5</v>
      </c>
      <c r="AK19" s="24">
        <v>213</v>
      </c>
    </row>
    <row r="20" spans="1:37" x14ac:dyDescent="0.25">
      <c r="A20" s="23" t="s">
        <v>30</v>
      </c>
      <c r="B20" s="24" t="s">
        <v>289</v>
      </c>
      <c r="D20" s="4">
        <v>5</v>
      </c>
      <c r="E20" s="4">
        <v>5</v>
      </c>
      <c r="F20" s="4">
        <v>5</v>
      </c>
      <c r="G20" s="4">
        <v>5</v>
      </c>
      <c r="H20" s="4">
        <v>5</v>
      </c>
      <c r="I20" s="4">
        <v>5</v>
      </c>
      <c r="J20" s="4">
        <v>5</v>
      </c>
      <c r="K20" s="4">
        <v>5</v>
      </c>
      <c r="L20" s="4">
        <v>5</v>
      </c>
      <c r="M20" s="4">
        <v>5</v>
      </c>
      <c r="N20" s="4">
        <v>5</v>
      </c>
      <c r="O20" s="4">
        <v>5</v>
      </c>
      <c r="P20" s="7">
        <v>0.87920792079207899</v>
      </c>
      <c r="Q20" s="7">
        <v>0.93298969072164994</v>
      </c>
      <c r="R20" s="7">
        <v>0.93633540372670798</v>
      </c>
      <c r="S20" s="7">
        <v>0.930946291560102</v>
      </c>
      <c r="T20" s="7">
        <v>0.94444444444444398</v>
      </c>
      <c r="U20" s="7">
        <v>0.03</v>
      </c>
      <c r="V20" s="7">
        <v>9.5000000000000001E-2</v>
      </c>
      <c r="W20" s="7">
        <v>4.8000000000000001E-2</v>
      </c>
      <c r="X20" s="7">
        <v>6.9000000000000006E-2</v>
      </c>
      <c r="Y20" s="7">
        <v>8.1000000000000003E-2</v>
      </c>
      <c r="Z20" s="55">
        <f t="shared" si="2"/>
        <v>1.2E-2</v>
      </c>
      <c r="AA20" s="55">
        <f t="shared" si="2"/>
        <v>3.8000000000000006E-2</v>
      </c>
      <c r="AB20" s="55">
        <f t="shared" si="2"/>
        <v>1.9200000000000002E-2</v>
      </c>
      <c r="AC20" s="55">
        <f t="shared" si="2"/>
        <v>2.7600000000000003E-2</v>
      </c>
      <c r="AD20" s="55">
        <f t="shared" si="2"/>
        <v>3.2400000000000005E-2</v>
      </c>
      <c r="AE20" s="4">
        <v>5</v>
      </c>
      <c r="AF20" s="22">
        <v>214</v>
      </c>
      <c r="AG20" s="4">
        <v>5</v>
      </c>
      <c r="AH20" s="22"/>
      <c r="AI20" s="4">
        <f t="shared" si="1"/>
        <v>0.1386</v>
      </c>
      <c r="AJ20" s="3">
        <v>5</v>
      </c>
      <c r="AK20" s="24">
        <v>214</v>
      </c>
    </row>
    <row r="21" spans="1:37" x14ac:dyDescent="0.25">
      <c r="A21" s="23" t="s">
        <v>31</v>
      </c>
      <c r="B21" s="24" t="s">
        <v>289</v>
      </c>
      <c r="D21" s="4">
        <v>5</v>
      </c>
      <c r="E21" s="4">
        <v>5</v>
      </c>
      <c r="F21" s="4">
        <v>5</v>
      </c>
      <c r="G21" s="4">
        <v>5</v>
      </c>
      <c r="H21" s="4">
        <v>5</v>
      </c>
      <c r="I21" s="4">
        <v>5</v>
      </c>
      <c r="J21" s="4">
        <v>5</v>
      </c>
      <c r="K21" s="4">
        <v>5</v>
      </c>
      <c r="L21" s="4">
        <v>5</v>
      </c>
      <c r="M21" s="4">
        <v>5</v>
      </c>
      <c r="N21" s="4">
        <v>5</v>
      </c>
      <c r="O21" s="4">
        <v>5</v>
      </c>
      <c r="P21" s="7">
        <v>0.9</v>
      </c>
      <c r="Q21" s="7">
        <v>0.9</v>
      </c>
      <c r="R21" s="7">
        <v>0.9</v>
      </c>
      <c r="S21" s="7">
        <v>0.9</v>
      </c>
      <c r="T21" s="7">
        <v>0.9</v>
      </c>
      <c r="U21" s="7">
        <v>0</v>
      </c>
      <c r="V21" s="7">
        <v>0</v>
      </c>
      <c r="W21" s="7">
        <v>0</v>
      </c>
      <c r="X21" s="7">
        <v>0</v>
      </c>
      <c r="Y21" s="7">
        <v>0</v>
      </c>
      <c r="Z21" s="55">
        <f t="shared" si="2"/>
        <v>0</v>
      </c>
      <c r="AA21" s="55">
        <f t="shared" si="2"/>
        <v>0</v>
      </c>
      <c r="AB21" s="55">
        <f t="shared" si="2"/>
        <v>0</v>
      </c>
      <c r="AC21" s="55">
        <f t="shared" si="2"/>
        <v>0</v>
      </c>
      <c r="AD21" s="55">
        <f t="shared" si="2"/>
        <v>0</v>
      </c>
      <c r="AE21" s="4">
        <v>5</v>
      </c>
      <c r="AF21" s="22">
        <v>218</v>
      </c>
      <c r="AG21" s="4">
        <v>5</v>
      </c>
      <c r="AH21" s="22"/>
      <c r="AI21" s="4">
        <f t="shared" si="1"/>
        <v>0.1386</v>
      </c>
      <c r="AJ21" s="3">
        <v>5</v>
      </c>
      <c r="AK21" s="24">
        <v>218</v>
      </c>
    </row>
    <row r="22" spans="1:37" x14ac:dyDescent="0.25">
      <c r="A22" s="23" t="s">
        <v>32</v>
      </c>
      <c r="B22" s="24" t="s">
        <v>289</v>
      </c>
      <c r="D22" s="4">
        <v>5</v>
      </c>
      <c r="E22" s="4">
        <v>5</v>
      </c>
      <c r="F22" s="4">
        <v>5</v>
      </c>
      <c r="G22" s="4">
        <v>5</v>
      </c>
      <c r="H22" s="4">
        <v>5</v>
      </c>
      <c r="I22" s="4">
        <v>5</v>
      </c>
      <c r="J22" s="4">
        <v>5</v>
      </c>
      <c r="K22" s="4">
        <v>5</v>
      </c>
      <c r="L22" s="4">
        <v>5</v>
      </c>
      <c r="M22" s="4">
        <v>5</v>
      </c>
      <c r="N22" s="4">
        <v>5</v>
      </c>
      <c r="O22" s="4">
        <v>5</v>
      </c>
      <c r="P22" s="7">
        <v>0.98748261474269805</v>
      </c>
      <c r="Q22" s="7">
        <v>0.86834733893557403</v>
      </c>
      <c r="R22" s="7">
        <v>0.98884758364312197</v>
      </c>
      <c r="S22" s="7">
        <v>0.95495495495495497</v>
      </c>
      <c r="T22" s="7">
        <v>0.95760598503740701</v>
      </c>
      <c r="U22" s="7">
        <v>4.1000000000000003E-9</v>
      </c>
      <c r="V22" s="7">
        <v>2.4E-8</v>
      </c>
      <c r="W22" s="7">
        <v>2.3000000000000001E-8</v>
      </c>
      <c r="X22" s="7">
        <v>3.1E-8</v>
      </c>
      <c r="Y22" s="7">
        <v>2.9999999999999997E-8</v>
      </c>
      <c r="Z22" s="55">
        <f t="shared" si="2"/>
        <v>1.6400000000000001E-9</v>
      </c>
      <c r="AA22" s="55">
        <f t="shared" si="2"/>
        <v>9.5999999999999999E-9</v>
      </c>
      <c r="AB22" s="55">
        <f t="shared" si="2"/>
        <v>9.2000000000000013E-9</v>
      </c>
      <c r="AC22" s="55">
        <f t="shared" si="2"/>
        <v>1.24E-8</v>
      </c>
      <c r="AD22" s="55">
        <f t="shared" si="2"/>
        <v>1.2E-8</v>
      </c>
      <c r="AE22" s="4">
        <v>5</v>
      </c>
      <c r="AF22" s="22">
        <v>225</v>
      </c>
      <c r="AG22" s="4">
        <v>5</v>
      </c>
      <c r="AH22" s="22">
        <v>0.2</v>
      </c>
      <c r="AI22" s="4">
        <f t="shared" si="1"/>
        <v>0.1386</v>
      </c>
      <c r="AJ22" s="3">
        <v>5</v>
      </c>
      <c r="AK22" s="24">
        <v>225</v>
      </c>
    </row>
    <row r="23" spans="1:37" x14ac:dyDescent="0.25">
      <c r="A23" s="25" t="s">
        <v>33</v>
      </c>
      <c r="B23" s="24" t="s">
        <v>275</v>
      </c>
      <c r="C23" s="24">
        <v>1</v>
      </c>
      <c r="D23" s="4">
        <v>5</v>
      </c>
      <c r="E23" s="4">
        <v>5</v>
      </c>
      <c r="F23" s="4">
        <v>5</v>
      </c>
      <c r="G23" s="4">
        <v>5</v>
      </c>
      <c r="H23" s="4">
        <v>5</v>
      </c>
      <c r="I23" s="4">
        <v>5</v>
      </c>
      <c r="J23" s="4">
        <v>5</v>
      </c>
      <c r="K23" s="4">
        <v>5</v>
      </c>
      <c r="L23" s="4">
        <v>5</v>
      </c>
      <c r="M23" s="4">
        <v>5</v>
      </c>
      <c r="N23" s="4">
        <v>5</v>
      </c>
      <c r="O23" s="4">
        <v>5</v>
      </c>
      <c r="P23" s="7">
        <v>0.927927927927928</v>
      </c>
      <c r="Q23" s="7">
        <v>0.82729805013927604</v>
      </c>
      <c r="R23" s="7">
        <v>0.88145896656534894</v>
      </c>
      <c r="S23" s="7">
        <v>0.89258312020460395</v>
      </c>
      <c r="T23" s="7">
        <v>0.88349514563106801</v>
      </c>
      <c r="U23" s="7">
        <v>3.5000000000000003E-2</v>
      </c>
      <c r="V23" s="7">
        <v>0.11</v>
      </c>
      <c r="W23" s="7">
        <v>5.8000000000000003E-2</v>
      </c>
      <c r="X23" s="7">
        <v>8.1000000000000003E-2</v>
      </c>
      <c r="Y23" s="7">
        <v>0.1</v>
      </c>
      <c r="Z23" s="55">
        <f t="shared" si="2"/>
        <v>1.4000000000000002E-2</v>
      </c>
      <c r="AA23" s="55">
        <f t="shared" si="2"/>
        <v>4.4000000000000004E-2</v>
      </c>
      <c r="AB23" s="55">
        <f t="shared" si="2"/>
        <v>2.3200000000000002E-2</v>
      </c>
      <c r="AC23" s="55">
        <f t="shared" si="2"/>
        <v>3.2400000000000005E-2</v>
      </c>
      <c r="AD23" s="55">
        <f t="shared" si="2"/>
        <v>4.0000000000000008E-2</v>
      </c>
      <c r="AE23" s="4">
        <v>5</v>
      </c>
      <c r="AF23" s="22">
        <v>226</v>
      </c>
      <c r="AG23" s="4">
        <v>5</v>
      </c>
      <c r="AH23" s="22">
        <v>0.2</v>
      </c>
      <c r="AI23" s="4">
        <f t="shared" si="1"/>
        <v>0.1386</v>
      </c>
      <c r="AJ23" s="3">
        <v>5</v>
      </c>
      <c r="AK23" s="24">
        <v>226</v>
      </c>
    </row>
    <row r="24" spans="1:37" x14ac:dyDescent="0.25">
      <c r="A24" s="23" t="s">
        <v>34</v>
      </c>
      <c r="B24" s="24" t="s">
        <v>289</v>
      </c>
      <c r="D24" s="4">
        <v>5</v>
      </c>
      <c r="E24" s="4">
        <v>5</v>
      </c>
      <c r="F24" s="4">
        <v>5</v>
      </c>
      <c r="G24" s="4">
        <v>5</v>
      </c>
      <c r="H24" s="4">
        <v>5</v>
      </c>
      <c r="I24" s="4">
        <v>5</v>
      </c>
      <c r="J24" s="4">
        <v>5</v>
      </c>
      <c r="K24" s="4">
        <v>5</v>
      </c>
      <c r="L24" s="4">
        <v>5</v>
      </c>
      <c r="M24" s="4">
        <v>5</v>
      </c>
      <c r="N24" s="4">
        <v>5</v>
      </c>
      <c r="O24" s="4">
        <v>5</v>
      </c>
      <c r="P24" s="7">
        <v>0.886075949367089</v>
      </c>
      <c r="Q24" s="7">
        <v>0.91340782122904995</v>
      </c>
      <c r="R24" s="7">
        <v>0.93388429752066104</v>
      </c>
      <c r="S24" s="7">
        <v>0.91913746630727799</v>
      </c>
      <c r="T24" s="7">
        <v>0.95499999999999996</v>
      </c>
      <c r="U24" s="7">
        <v>2.5999999999999999E-2</v>
      </c>
      <c r="V24" s="7">
        <v>7.5999999999999998E-2</v>
      </c>
      <c r="W24" s="7">
        <v>4.1000000000000002E-2</v>
      </c>
      <c r="X24" s="7">
        <v>5.8999999999999997E-2</v>
      </c>
      <c r="Y24" s="7">
        <v>6.8000000000000005E-2</v>
      </c>
      <c r="Z24" s="55">
        <f t="shared" si="2"/>
        <v>1.04E-2</v>
      </c>
      <c r="AA24" s="55">
        <f t="shared" si="2"/>
        <v>3.04E-2</v>
      </c>
      <c r="AB24" s="55">
        <f t="shared" si="2"/>
        <v>1.6400000000000001E-2</v>
      </c>
      <c r="AC24" s="55">
        <f t="shared" si="2"/>
        <v>2.3599999999999999E-2</v>
      </c>
      <c r="AD24" s="55">
        <f t="shared" si="2"/>
        <v>2.7200000000000002E-2</v>
      </c>
      <c r="AE24" s="4">
        <v>5</v>
      </c>
      <c r="AF24" s="22">
        <v>218</v>
      </c>
      <c r="AG24" s="4">
        <v>5</v>
      </c>
      <c r="AH24" s="22"/>
      <c r="AI24" s="4">
        <f t="shared" si="1"/>
        <v>0.1386</v>
      </c>
      <c r="AJ24" s="3">
        <v>5</v>
      </c>
      <c r="AK24" s="24">
        <v>218</v>
      </c>
    </row>
    <row r="25" spans="1:37" x14ac:dyDescent="0.25">
      <c r="A25" s="25" t="s">
        <v>35</v>
      </c>
      <c r="B25" s="24" t="s">
        <v>275</v>
      </c>
      <c r="C25" s="24">
        <v>1</v>
      </c>
      <c r="D25" s="4">
        <v>5</v>
      </c>
      <c r="E25" s="4">
        <v>5</v>
      </c>
      <c r="F25" s="4">
        <v>5</v>
      </c>
      <c r="G25" s="4">
        <v>5</v>
      </c>
      <c r="H25" s="4">
        <v>5</v>
      </c>
      <c r="I25" s="4">
        <v>5</v>
      </c>
      <c r="J25" s="4">
        <v>5</v>
      </c>
      <c r="K25" s="4">
        <v>5</v>
      </c>
      <c r="L25" s="4">
        <v>5</v>
      </c>
      <c r="M25" s="4">
        <v>5</v>
      </c>
      <c r="N25" s="4">
        <v>5</v>
      </c>
      <c r="O25" s="4">
        <v>5</v>
      </c>
      <c r="P25" s="7">
        <v>0.881287726358149</v>
      </c>
      <c r="Q25" s="7">
        <v>0.94318181818181801</v>
      </c>
      <c r="R25" s="7">
        <v>0.93949044585987296</v>
      </c>
      <c r="S25" s="7">
        <v>0.93193717277486898</v>
      </c>
      <c r="T25" s="7">
        <v>0.91981132075471705</v>
      </c>
      <c r="U25" s="7">
        <v>2.1999999999999999E-2</v>
      </c>
      <c r="V25" s="7">
        <v>6.6000000000000003E-2</v>
      </c>
      <c r="W25" s="7">
        <v>3.6999999999999998E-2</v>
      </c>
      <c r="X25" s="7">
        <v>5.1999999999999998E-2</v>
      </c>
      <c r="Y25" s="7">
        <v>5.8999999999999997E-2</v>
      </c>
      <c r="Z25" s="55">
        <f t="shared" si="2"/>
        <v>8.8000000000000005E-3</v>
      </c>
      <c r="AA25" s="55">
        <f t="shared" si="2"/>
        <v>2.6400000000000003E-2</v>
      </c>
      <c r="AB25" s="55">
        <f t="shared" si="2"/>
        <v>1.4800000000000001E-2</v>
      </c>
      <c r="AC25" s="55">
        <f t="shared" si="2"/>
        <v>2.0799999999999999E-2</v>
      </c>
      <c r="AD25" s="55">
        <f t="shared" si="2"/>
        <v>2.3599999999999999E-2</v>
      </c>
      <c r="AE25" s="4">
        <v>5</v>
      </c>
      <c r="AF25" s="22">
        <v>222</v>
      </c>
      <c r="AG25" s="4">
        <v>5</v>
      </c>
      <c r="AH25" s="22"/>
      <c r="AI25" s="4">
        <f t="shared" si="1"/>
        <v>0.1386</v>
      </c>
      <c r="AJ25" s="3">
        <v>5</v>
      </c>
      <c r="AK25" s="24">
        <v>222</v>
      </c>
    </row>
    <row r="26" spans="1:37" x14ac:dyDescent="0.25">
      <c r="A26" s="23" t="s">
        <v>36</v>
      </c>
      <c r="B26" s="24" t="s">
        <v>289</v>
      </c>
      <c r="D26" s="4">
        <v>5</v>
      </c>
      <c r="E26" s="4">
        <v>5</v>
      </c>
      <c r="F26" s="4">
        <v>5</v>
      </c>
      <c r="G26" s="4">
        <v>5</v>
      </c>
      <c r="H26" s="4">
        <v>5</v>
      </c>
      <c r="I26" s="4">
        <v>5</v>
      </c>
      <c r="J26" s="4">
        <v>5</v>
      </c>
      <c r="K26" s="4">
        <v>5</v>
      </c>
      <c r="L26" s="4">
        <v>5</v>
      </c>
      <c r="M26" s="4">
        <v>5</v>
      </c>
      <c r="N26" s="4">
        <v>5</v>
      </c>
      <c r="O26" s="4">
        <v>5</v>
      </c>
      <c r="P26" s="7">
        <v>0.97538461538461496</v>
      </c>
      <c r="Q26" s="7">
        <v>0.95145631067961201</v>
      </c>
      <c r="R26" s="7">
        <v>0.91964285714285698</v>
      </c>
      <c r="S26" s="7">
        <v>0.91074681238615696</v>
      </c>
      <c r="T26" s="7">
        <v>0.91954022988505801</v>
      </c>
      <c r="U26" s="7">
        <v>1.1000000000000001E-3</v>
      </c>
      <c r="V26" s="7">
        <v>1.2E-2</v>
      </c>
      <c r="W26" s="7">
        <v>6.7999999999999996E-3</v>
      </c>
      <c r="X26" s="7">
        <v>9.4999999999999998E-3</v>
      </c>
      <c r="Y26" s="7">
        <v>1.0999999999999999E-2</v>
      </c>
      <c r="Z26" s="55">
        <f t="shared" si="2"/>
        <v>4.4000000000000007E-4</v>
      </c>
      <c r="AA26" s="55">
        <f t="shared" si="2"/>
        <v>4.8000000000000004E-3</v>
      </c>
      <c r="AB26" s="55">
        <f t="shared" si="2"/>
        <v>2.7200000000000002E-3</v>
      </c>
      <c r="AC26" s="55">
        <f t="shared" si="2"/>
        <v>3.8E-3</v>
      </c>
      <c r="AD26" s="55">
        <f t="shared" si="2"/>
        <v>4.4000000000000003E-3</v>
      </c>
      <c r="AE26" s="4">
        <v>5</v>
      </c>
      <c r="AF26" s="22">
        <v>229</v>
      </c>
      <c r="AG26" s="4">
        <v>5</v>
      </c>
      <c r="AH26" s="22">
        <v>5.0000000000000001E-4</v>
      </c>
      <c r="AI26" s="4">
        <f t="shared" si="1"/>
        <v>0.1386</v>
      </c>
      <c r="AJ26" s="3">
        <v>5</v>
      </c>
      <c r="AK26" s="24">
        <v>229</v>
      </c>
    </row>
    <row r="27" spans="1:37" x14ac:dyDescent="0.25">
      <c r="A27" s="23" t="s">
        <v>37</v>
      </c>
      <c r="B27" s="24" t="s">
        <v>289</v>
      </c>
      <c r="D27" s="4">
        <v>5</v>
      </c>
      <c r="E27" s="4">
        <v>5</v>
      </c>
      <c r="F27" s="4">
        <v>5</v>
      </c>
      <c r="G27" s="4">
        <v>5</v>
      </c>
      <c r="H27" s="4">
        <v>5</v>
      </c>
      <c r="I27" s="4">
        <v>5</v>
      </c>
      <c r="J27" s="4">
        <v>5</v>
      </c>
      <c r="K27" s="4">
        <v>5</v>
      </c>
      <c r="L27" s="4">
        <v>5</v>
      </c>
      <c r="M27" s="4">
        <v>5</v>
      </c>
      <c r="N27" s="4">
        <v>5</v>
      </c>
      <c r="O27" s="4">
        <v>5</v>
      </c>
      <c r="P27" s="7">
        <v>0.94202898550724601</v>
      </c>
      <c r="Q27" s="7">
        <v>0.96767241379310298</v>
      </c>
      <c r="R27" s="7">
        <v>0.91346153846153799</v>
      </c>
      <c r="S27" s="7">
        <v>0.90301003344481601</v>
      </c>
      <c r="T27" s="7">
        <v>0.91029900332225899</v>
      </c>
      <c r="U27" s="7">
        <v>6.1999999999999998E-3</v>
      </c>
      <c r="V27" s="7">
        <v>5.6000000000000001E-2</v>
      </c>
      <c r="W27" s="7">
        <v>0.02</v>
      </c>
      <c r="X27" s="7">
        <v>3.3000000000000002E-2</v>
      </c>
      <c r="Y27" s="7">
        <v>4.4999999999999998E-2</v>
      </c>
      <c r="Z27" s="55">
        <f t="shared" si="2"/>
        <v>2.48E-3</v>
      </c>
      <c r="AA27" s="55">
        <f t="shared" si="2"/>
        <v>2.2400000000000003E-2</v>
      </c>
      <c r="AB27" s="55">
        <f t="shared" si="2"/>
        <v>8.0000000000000002E-3</v>
      </c>
      <c r="AC27" s="55">
        <f t="shared" si="2"/>
        <v>1.3200000000000002E-2</v>
      </c>
      <c r="AD27" s="55">
        <f t="shared" si="2"/>
        <v>1.7999999999999999E-2</v>
      </c>
      <c r="AE27" s="4">
        <v>5</v>
      </c>
      <c r="AF27" s="22">
        <v>206</v>
      </c>
      <c r="AG27" s="4">
        <v>5</v>
      </c>
      <c r="AH27" s="22"/>
      <c r="AI27" s="4">
        <f t="shared" si="1"/>
        <v>0.1386</v>
      </c>
      <c r="AJ27" s="3">
        <v>5</v>
      </c>
      <c r="AK27" s="24">
        <v>206</v>
      </c>
    </row>
    <row r="28" spans="1:37" x14ac:dyDescent="0.25">
      <c r="A28" s="23" t="s">
        <v>38</v>
      </c>
      <c r="B28" s="24" t="s">
        <v>289</v>
      </c>
      <c r="D28" s="4">
        <v>5</v>
      </c>
      <c r="E28" s="4">
        <v>5</v>
      </c>
      <c r="F28" s="4">
        <v>5</v>
      </c>
      <c r="G28" s="4">
        <v>5</v>
      </c>
      <c r="H28" s="4">
        <v>5</v>
      </c>
      <c r="I28" s="4">
        <v>5</v>
      </c>
      <c r="J28" s="4">
        <v>5</v>
      </c>
      <c r="K28" s="4">
        <v>5</v>
      </c>
      <c r="L28" s="4">
        <v>5</v>
      </c>
      <c r="M28" s="4">
        <v>5</v>
      </c>
      <c r="N28" s="4">
        <v>5</v>
      </c>
      <c r="O28" s="4">
        <v>5</v>
      </c>
      <c r="P28" s="7">
        <v>0.86776859504132198</v>
      </c>
      <c r="Q28" s="7">
        <v>0.94199999999999995</v>
      </c>
      <c r="R28" s="7">
        <v>0.93081761006289299</v>
      </c>
      <c r="S28" s="7">
        <v>0.94166666666666698</v>
      </c>
      <c r="T28" s="7">
        <v>0.91360294117647101</v>
      </c>
      <c r="U28" s="7">
        <v>3.5999999999999997E-2</v>
      </c>
      <c r="V28" s="7">
        <v>0.13</v>
      </c>
      <c r="W28" s="7">
        <v>5.8999999999999997E-2</v>
      </c>
      <c r="X28" s="7">
        <v>8.4000000000000005E-2</v>
      </c>
      <c r="Y28" s="7">
        <v>0.1</v>
      </c>
      <c r="Z28" s="55">
        <f t="shared" si="2"/>
        <v>1.44E-2</v>
      </c>
      <c r="AA28" s="55">
        <f t="shared" si="2"/>
        <v>5.2000000000000005E-2</v>
      </c>
      <c r="AB28" s="55">
        <f t="shared" si="2"/>
        <v>2.3599999999999999E-2</v>
      </c>
      <c r="AC28" s="55">
        <f t="shared" si="2"/>
        <v>3.3600000000000005E-2</v>
      </c>
      <c r="AD28" s="55">
        <f t="shared" si="2"/>
        <v>4.0000000000000008E-2</v>
      </c>
      <c r="AE28" s="4">
        <v>5</v>
      </c>
      <c r="AF28" s="22">
        <v>209</v>
      </c>
      <c r="AG28" s="4">
        <v>5</v>
      </c>
      <c r="AH28" s="22"/>
      <c r="AI28" s="4">
        <f t="shared" si="1"/>
        <v>0.1386</v>
      </c>
      <c r="AJ28" s="3">
        <v>5</v>
      </c>
      <c r="AK28" s="24">
        <v>209</v>
      </c>
    </row>
    <row r="29" spans="1:37" x14ac:dyDescent="0.25">
      <c r="A29" s="23" t="s">
        <v>39</v>
      </c>
      <c r="B29" s="24" t="s">
        <v>289</v>
      </c>
      <c r="D29" s="4">
        <v>5</v>
      </c>
      <c r="E29" s="4">
        <v>5</v>
      </c>
      <c r="F29" s="4">
        <v>5</v>
      </c>
      <c r="G29" s="4">
        <v>5</v>
      </c>
      <c r="H29" s="4">
        <v>5</v>
      </c>
      <c r="I29" s="4">
        <v>5</v>
      </c>
      <c r="J29" s="4">
        <v>5</v>
      </c>
      <c r="K29" s="4">
        <v>5</v>
      </c>
      <c r="L29" s="4">
        <v>5</v>
      </c>
      <c r="M29" s="4">
        <v>5</v>
      </c>
      <c r="N29" s="4">
        <v>5</v>
      </c>
      <c r="O29" s="4">
        <v>5</v>
      </c>
      <c r="P29" s="7">
        <v>0.87301587301587302</v>
      </c>
      <c r="Q29" s="7">
        <v>0.93846153846153801</v>
      </c>
      <c r="R29" s="7">
        <v>0.94059405940594099</v>
      </c>
      <c r="S29" s="7">
        <v>0.94308943089430897</v>
      </c>
      <c r="T29" s="7">
        <v>0.93390804597701205</v>
      </c>
      <c r="U29" s="7">
        <v>3.5999999999999997E-2</v>
      </c>
      <c r="V29" s="7">
        <v>0.12</v>
      </c>
      <c r="W29" s="7">
        <v>0.06</v>
      </c>
      <c r="X29" s="7">
        <v>8.4000000000000005E-2</v>
      </c>
      <c r="Y29" s="7">
        <v>0.1</v>
      </c>
      <c r="Z29" s="55">
        <f t="shared" si="2"/>
        <v>1.44E-2</v>
      </c>
      <c r="AA29" s="55">
        <f t="shared" si="2"/>
        <v>4.8000000000000001E-2</v>
      </c>
      <c r="AB29" s="55">
        <f t="shared" si="2"/>
        <v>2.4E-2</v>
      </c>
      <c r="AC29" s="55">
        <f t="shared" si="2"/>
        <v>3.3600000000000005E-2</v>
      </c>
      <c r="AD29" s="55">
        <f t="shared" si="2"/>
        <v>4.0000000000000008E-2</v>
      </c>
      <c r="AE29" s="4">
        <v>5</v>
      </c>
      <c r="AF29" s="22">
        <v>210</v>
      </c>
      <c r="AG29" s="4">
        <v>5</v>
      </c>
      <c r="AH29" s="22"/>
      <c r="AI29" s="4">
        <f t="shared" si="1"/>
        <v>0.1386</v>
      </c>
      <c r="AJ29" s="3">
        <v>5</v>
      </c>
      <c r="AK29" s="24">
        <v>210</v>
      </c>
    </row>
    <row r="30" spans="1:37" x14ac:dyDescent="0.25">
      <c r="A30" s="23" t="s">
        <v>40</v>
      </c>
      <c r="B30" s="24" t="s">
        <v>289</v>
      </c>
      <c r="D30" s="4">
        <v>5</v>
      </c>
      <c r="E30" s="4">
        <v>5</v>
      </c>
      <c r="F30" s="4">
        <v>5</v>
      </c>
      <c r="G30" s="4">
        <v>5</v>
      </c>
      <c r="H30" s="4">
        <v>5</v>
      </c>
      <c r="I30" s="4">
        <v>5</v>
      </c>
      <c r="J30" s="4">
        <v>5</v>
      </c>
      <c r="K30" s="4">
        <v>5</v>
      </c>
      <c r="L30" s="4">
        <v>5</v>
      </c>
      <c r="M30" s="4">
        <v>5</v>
      </c>
      <c r="N30" s="4">
        <v>5</v>
      </c>
      <c r="O30" s="4">
        <v>5</v>
      </c>
      <c r="P30" s="4">
        <v>1</v>
      </c>
      <c r="Q30" s="4">
        <v>1</v>
      </c>
      <c r="R30" s="4">
        <v>0.97979797979798</v>
      </c>
      <c r="S30" s="4">
        <v>0.97103448275862103</v>
      </c>
      <c r="T30" s="4">
        <v>0.96124031007751898</v>
      </c>
      <c r="U30" s="4">
        <v>1E-4</v>
      </c>
      <c r="V30" s="4">
        <v>1.2E-2</v>
      </c>
      <c r="W30" s="4">
        <v>2.5000000000000001E-3</v>
      </c>
      <c r="X30" s="4">
        <v>7.0000000000000001E-3</v>
      </c>
      <c r="Y30" s="4">
        <v>9.4999999999999998E-3</v>
      </c>
      <c r="Z30" s="55">
        <f t="shared" si="2"/>
        <v>4.0000000000000003E-5</v>
      </c>
      <c r="AA30" s="55">
        <f t="shared" si="2"/>
        <v>4.8000000000000004E-3</v>
      </c>
      <c r="AB30" s="55">
        <f t="shared" si="2"/>
        <v>1E-3</v>
      </c>
      <c r="AC30" s="55">
        <f t="shared" si="2"/>
        <v>2.8000000000000004E-3</v>
      </c>
      <c r="AD30" s="55">
        <f t="shared" si="2"/>
        <v>3.8E-3</v>
      </c>
      <c r="AE30" s="4">
        <v>5</v>
      </c>
      <c r="AF30" s="22">
        <v>233</v>
      </c>
      <c r="AG30" s="4">
        <v>5</v>
      </c>
      <c r="AH30" s="22">
        <v>0.02</v>
      </c>
      <c r="AI30" s="4">
        <f t="shared" si="1"/>
        <v>0.1386</v>
      </c>
      <c r="AJ30" s="3">
        <v>5</v>
      </c>
      <c r="AK30" s="24">
        <v>233</v>
      </c>
    </row>
  </sheetData>
  <sheetProtection algorithmName="SHA-512" hashValue="GNGn16FZ/29kefcTs18btrL2CP8c4ROz9Xe226l4hXp6ve49i7g8AC4VbA/0M/eMv8NMXwTKYD8xMI/59YMO+w==" saltValue="ELIW1rDgQ4lhxwdJYqubXw==" spinCount="100000" sheet="1" objects="1" scenarios="1" formatColumns="0" formatRows="0" autoFilter="0"/>
  <autoFilter ref="A1:AK30" xr:uid="{00000000-0009-0000-0000-000002000000}"/>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6">
    <tabColor theme="9" tint="-0.499984740745262"/>
  </sheetPr>
  <dimension ref="A1:AL76"/>
  <sheetViews>
    <sheetView zoomScale="90" zoomScaleNormal="90" workbookViewId="0">
      <pane xSplit="2" ySplit="1" topLeftCell="C2" activePane="bottomRight" state="frozen"/>
      <selection pane="topRight" activeCell="C1" sqref="C1"/>
      <selection pane="bottomLeft" activeCell="A2" sqref="A2"/>
      <selection pane="bottomRight" activeCell="C2" sqref="C2"/>
    </sheetView>
  </sheetViews>
  <sheetFormatPr defaultColWidth="9.140625" defaultRowHeight="15" x14ac:dyDescent="0.25"/>
  <cols>
    <col min="1" max="1" width="15.42578125" style="3" customWidth="1"/>
    <col min="2" max="2" width="13.28515625" style="3" bestFit="1" customWidth="1"/>
    <col min="3" max="3" width="13.28515625" style="3" customWidth="1"/>
    <col min="4" max="4" width="14.42578125" style="2" bestFit="1" customWidth="1"/>
    <col min="5" max="5" width="14.5703125" style="2" bestFit="1" customWidth="1"/>
    <col min="6" max="6" width="14.28515625" style="2" bestFit="1" customWidth="1"/>
    <col min="7" max="9" width="14.140625" style="2" bestFit="1" customWidth="1"/>
    <col min="10" max="10" width="14" style="2" bestFit="1" customWidth="1"/>
    <col min="11" max="12" width="14.5703125" style="2" bestFit="1" customWidth="1"/>
    <col min="13" max="13" width="14.42578125" style="2" bestFit="1" customWidth="1"/>
    <col min="14" max="14" width="14.28515625" style="2" bestFit="1" customWidth="1"/>
    <col min="15" max="15" width="14.28515625" style="2" customWidth="1"/>
    <col min="16" max="16" width="13.5703125" style="2" bestFit="1" customWidth="1"/>
    <col min="17" max="18" width="15.42578125" style="2" bestFit="1" customWidth="1"/>
    <col min="19" max="19" width="16.42578125" style="2" bestFit="1" customWidth="1"/>
    <col min="20" max="20" width="13.85546875" style="2" bestFit="1" customWidth="1"/>
    <col min="21" max="21" width="13.140625" style="2" bestFit="1" customWidth="1"/>
    <col min="22" max="23" width="14.85546875" style="2" bestFit="1" customWidth="1"/>
    <col min="24" max="24" width="16" style="2" bestFit="1" customWidth="1"/>
    <col min="25" max="26" width="13.5703125" style="2" bestFit="1" customWidth="1"/>
    <col min="27" max="28" width="15.42578125" style="2" bestFit="1" customWidth="1"/>
    <col min="29" max="29" width="16.42578125" style="2" bestFit="1" customWidth="1"/>
    <col min="30" max="30" width="14.140625" style="2" bestFit="1" customWidth="1"/>
    <col min="31" max="31" width="13.85546875" style="2" bestFit="1" customWidth="1"/>
    <col min="32" max="32" width="14.140625" style="2" bestFit="1" customWidth="1"/>
    <col min="33" max="33" width="13.28515625" style="2" bestFit="1" customWidth="1"/>
    <col min="34" max="34" width="13.42578125" style="2" bestFit="1" customWidth="1"/>
    <col min="35" max="35" width="13.85546875" style="2" bestFit="1" customWidth="1"/>
    <col min="36" max="36" width="14" style="2" bestFit="1" customWidth="1"/>
    <col min="37" max="37" width="14.28515625" style="2" bestFit="1" customWidth="1"/>
    <col min="38" max="38" width="13.7109375" style="2" bestFit="1" customWidth="1"/>
    <col min="39" max="16384" width="9.140625" style="2"/>
  </cols>
  <sheetData>
    <row r="1" spans="1:38" x14ac:dyDescent="0.25">
      <c r="A1" s="21" t="s">
        <v>51</v>
      </c>
      <c r="B1" s="21" t="s">
        <v>274</v>
      </c>
      <c r="C1" s="108"/>
      <c r="D1" s="22" t="s">
        <v>341</v>
      </c>
      <c r="E1" s="22" t="s">
        <v>342</v>
      </c>
      <c r="F1" s="22" t="s">
        <v>343</v>
      </c>
      <c r="G1" s="22" t="s">
        <v>344</v>
      </c>
      <c r="H1" s="39" t="s">
        <v>353</v>
      </c>
      <c r="I1" s="39" t="s">
        <v>354</v>
      </c>
      <c r="J1" s="39" t="s">
        <v>355</v>
      </c>
      <c r="K1" s="40" t="s">
        <v>356</v>
      </c>
      <c r="L1" s="40" t="s">
        <v>357</v>
      </c>
      <c r="M1" s="40" t="s">
        <v>358</v>
      </c>
      <c r="N1" s="40" t="s">
        <v>359</v>
      </c>
      <c r="O1" s="40"/>
      <c r="P1" s="22" t="s">
        <v>345</v>
      </c>
      <c r="Q1" s="24" t="s">
        <v>346</v>
      </c>
      <c r="R1" s="24" t="s">
        <v>347</v>
      </c>
      <c r="S1" s="24" t="s">
        <v>348</v>
      </c>
      <c r="T1" s="24" t="s">
        <v>349</v>
      </c>
      <c r="U1" s="41" t="s">
        <v>371</v>
      </c>
      <c r="V1" s="41" t="s">
        <v>372</v>
      </c>
      <c r="W1" s="41" t="s">
        <v>373</v>
      </c>
      <c r="X1" s="41" t="s">
        <v>374</v>
      </c>
      <c r="Y1" s="41" t="s">
        <v>375</v>
      </c>
      <c r="Z1" s="42" t="s">
        <v>376</v>
      </c>
      <c r="AA1" s="42" t="s">
        <v>377</v>
      </c>
      <c r="AB1" s="42" t="s">
        <v>378</v>
      </c>
      <c r="AC1" s="42" t="s">
        <v>379</v>
      </c>
      <c r="AD1" s="42" t="s">
        <v>380</v>
      </c>
      <c r="AE1" s="24" t="s">
        <v>350</v>
      </c>
      <c r="AF1" s="24" t="s">
        <v>351</v>
      </c>
      <c r="AG1" s="24" t="s">
        <v>352</v>
      </c>
      <c r="AH1" s="41" t="s">
        <v>381</v>
      </c>
      <c r="AI1" s="41" t="s">
        <v>382</v>
      </c>
      <c r="AJ1" s="42" t="s">
        <v>383</v>
      </c>
      <c r="AK1" s="42" t="s">
        <v>384</v>
      </c>
      <c r="AL1" s="42" t="s">
        <v>385</v>
      </c>
    </row>
    <row r="2" spans="1:38" x14ac:dyDescent="0.25">
      <c r="A2" s="23" t="s">
        <v>12</v>
      </c>
      <c r="B2" s="24" t="s">
        <v>289</v>
      </c>
      <c r="C2" s="2"/>
      <c r="D2" s="22">
        <f>IFERROR((s_TR/(up_RadSpec!I2*s_EF_iw*s_ED_ind*s_IRS_iw*(1/1000)))*1,".")</f>
        <v>7.272727272727274E-8</v>
      </c>
      <c r="E2" s="22">
        <f>IFERROR(IF(A2="H-3",(s_TR/(up_RadSpec!G2*s_EF_iw*s_ED_ind*(s_ET_iw_o+s_ET_iw_i)*(1/24)*s_IRA_iw*(1/17)*1000))*1,(s_TR/(up_RadSpec!G2*s_EF_iw*s_ED_ind*(s_ET_iw_o+s_ET_iw_i)*(1/24)*s_IRA_iw*(1/s_PEF_wind)*1000))*1),".")</f>
        <v>9.0250320889537203E-5</v>
      </c>
      <c r="F2" s="22">
        <f>IFERROR((s_TR/(up_RadSpec!F2*s_EF_iw*(1/365)*s_ED_ind*up_RadSpec!Q2*(s_ET_iw_o+s_ET_iw_i)*(1/24)*up_RadSpec!AA2))*1,".")</f>
        <v>4.227313738892688E-4</v>
      </c>
      <c r="G2" s="22">
        <f t="shared" ref="G2:G30" si="0">(IF(AND(ISNUMBER(D2),ISNUMBER(E2),ISNUMBER(F2)),1/((1/D2)+(1/E2)+(1/F2)),IF(AND(ISNUMBER(D2),ISNUMBER(E2),NOT(ISNUMBER(F2))), 1/((1/D2)+(1/E2)),IF(AND(ISNUMBER(D2),NOT(ISNUMBER(E2)),ISNUMBER(F2)),1/((1/D2)+(1/F2)),IF(AND(NOT(ISNUMBER(D2)),ISNUMBER(E2),ISNUMBER(F2)),1/((1/E2)+(1/F2)),IF(AND(ISNUMBER(D2),NOT(ISNUMBER(E2)),NOT(ISNUMBER(F2))),1/((1/D2)),IF(AND(NOT(ISNUMBER(D2)),NOT(ISNUMBER(E2)),ISNUMBER(F2)),1/((1/F2)),IF(AND(NOT(ISNUMBER(D2)),ISNUMBER(E2),NOT(ISNUMBER(F2))),1/((1/E2)),IF(AND(NOT(ISNUMBER(D2)),NOT(ISNUMBER(E2)),NOT(ISNUMBER(F2))),".")))))))))</f>
        <v>7.2656223598778113E-8</v>
      </c>
      <c r="H2" s="43">
        <f t="shared" ref="H2:H30" si="1">s_C*s_EF_iw*s_ED_ind*s_IRS_iw*(1/1000)*1</f>
        <v>137.5</v>
      </c>
      <c r="I2" s="43">
        <f t="shared" ref="I2:I30" si="2">s_C*s_EF_iw*s_ED_ind*(s_ET_iw_o+s_ET_iw_i)*(1/24)*s_IRA_iw*(1/s_PEF_wind)*1000*1</f>
        <v>0.11080293013295324</v>
      </c>
      <c r="J2" s="43">
        <f>s_C*s_EF_iw*(1/365)*s_ED_ind*(s_ET_iw_o+s_ET_iw_i)*(1/24)*up_RadSpec!AA2*up_RadSpec!Q2*1</f>
        <v>2.3655684478766474E-2</v>
      </c>
      <c r="K2" s="4"/>
      <c r="L2" s="11"/>
      <c r="M2" s="11"/>
      <c r="N2" s="11"/>
      <c r="O2" s="11"/>
      <c r="P2" s="22">
        <f>IFERROR((s_TR/(up_RadSpec!F2*s_EF_iw*(1/365)*s_ED_ind*up_RadSpec!Q2*(s_ET_iw_o+s_ET_iw_i)*(1/24)*up_RadSpec!AA2))*1,".")</f>
        <v>4.227313738892688E-4</v>
      </c>
      <c r="Q2" s="22">
        <f>IFERROR((s_TR/(up_RadSpec!M2*s_EF_iw*(1/365)*s_ED_ind*up_RadSpec!R2*(s_ET_iw_o+s_ET_iw_i)*(1/24)*up_RadSpec!AB2))*1,".")</f>
        <v>8.5473584007615406E-4</v>
      </c>
      <c r="R2" s="22">
        <f>IFERROR((s_TR/(up_RadSpec!N2*s_EF_iw*(1/365)*s_ED_ind*up_RadSpec!S2*(s_ET_iw_o+s_ET_iw_i)*(1/24)*up_RadSpec!AC2))*1,".")</f>
        <v>5.8052676295666935E-4</v>
      </c>
      <c r="S2" s="22">
        <f>IFERROR((s_TR/(up_RadSpec!O2*s_EF_iw*(1/365)*s_ED_ind*up_RadSpec!T2*(s_ET_iw_o+s_ET_iw_i)*(1/24)*up_RadSpec!AD2))*1,".")</f>
        <v>4.8254604872251922E-4</v>
      </c>
      <c r="T2" s="22">
        <f>IFERROR((s_TR/(up_RadSpec!K2*s_EF_iw*(1/365)*s_ED_ind*up_RadSpec!P2*(s_ET_iw_o+s_ET_iw_i)*(1/24)*up_RadSpec!Z2))*1,".")</f>
        <v>6.7637975023499414E-3</v>
      </c>
      <c r="U2" s="43">
        <f>s_C*s_EF_iw*(1/365)*s_ED_ind*(s_ET_iw_o+s_ET_iw_i)*(1/24)*up_RadSpec!AA2*up_RadSpec!Q2*1</f>
        <v>2.3655684478766474E-2</v>
      </c>
      <c r="V2" s="43">
        <f>s_C*s_EF_iw*(1/365)*s_ED_ind*(s_ET_iw_o+s_ET_iw_i)*(1/24)*up_RadSpec!AB2*up_RadSpec!R2*1</f>
        <v>1.1699521104800093E-2</v>
      </c>
      <c r="W2" s="43">
        <f>s_C*s_EF_iw*(1/365)*s_ED_ind*(s_ET_iw_o+s_ET_iw_i)*(1/24)*up_RadSpec!AC2*up_RadSpec!S2*1</f>
        <v>1.7225734691488127E-2</v>
      </c>
      <c r="X2" s="43">
        <f>s_C*s_EF_iw*(1/365)*s_ED_ind*(s_ET_iw_o+s_ET_iw_i)*(1/24)*up_RadSpec!AD2*up_RadSpec!T2*1</f>
        <v>2.0723410804986925E-2</v>
      </c>
      <c r="Y2" s="43">
        <f>s_C*s_EF_iw*(1/365)*s_ED_ind*(s_ET_iw_o+s_ET_iw_i)*(1/24)*up_RadSpec!Z2*up_RadSpec!P2*1</f>
        <v>1.4784594004367678E-3</v>
      </c>
      <c r="Z2" s="11"/>
      <c r="AA2" s="11"/>
      <c r="AB2" s="11"/>
      <c r="AC2" s="11"/>
      <c r="AD2" s="11"/>
      <c r="AE2" s="22">
        <f>IFERROR(s_TR/(up_RadSpec!G2*s_EF_iw*s_ED_ind*(s_ET_iw_o+s_ET_iw_i)*(1/24)*s_IRA_iw),".")</f>
        <v>2.9090909090909094E-10</v>
      </c>
      <c r="AF2" s="22">
        <f>IFERROR(s_TR/(up_RadSpec!J2*s_EF_iw*(1/365)*s_ED_ind*(s_ET_iw_o+s_ET_iw_i)*(1/24)*s_GSF_a),".")</f>
        <v>6.3709090909090908E-6</v>
      </c>
      <c r="AG2" s="22">
        <f t="shared" ref="AG2" si="3">IFERROR(IF(AND(ISNUMBER(AE2),ISNUMBER(AF2)),1/((1/AE2)+(1/AF2)),IF(AND(ISNUMBER(AE2),NOT(ISNUMBER(AF2))),1/((1/AE2)),IF(AND(NOT(ISNUMBER(AE2)),ISNUMBER(AF2)),1/((1/AF2)),IF(AND(NOT(ISNUMBER(AE2)),NOT(ISNUMBER(AF2))),".")))),".")</f>
        <v>2.9089580799548386E-10</v>
      </c>
      <c r="AH2" s="43">
        <f t="shared" ref="AH2:AH30" si="4">s_C*s_EF_iw*s_ED_ind*(s_ET_iw_o+s_ET_iw_i)*(1/24)*s_IRA_iw*1</f>
        <v>34375</v>
      </c>
      <c r="AI2" s="43">
        <f t="shared" ref="AI2:AI30" si="5">s_C*s_EF_iw*(1/365)*s_ED_ind*(s_ET_iw_o+s_ET_iw_i)*(1/24)*s_GSF_a*1</f>
        <v>1.5696347031963471</v>
      </c>
      <c r="AJ2" s="11"/>
      <c r="AK2" s="11"/>
      <c r="AL2" s="11"/>
    </row>
    <row r="3" spans="1:38" x14ac:dyDescent="0.25">
      <c r="A3" s="25" t="s">
        <v>13</v>
      </c>
      <c r="B3" s="24" t="s">
        <v>275</v>
      </c>
      <c r="C3" s="2"/>
      <c r="D3" s="22">
        <f>IFERROR((s_TR/(up_RadSpec!I3*s_EF_iw*s_ED_ind*s_IRS_iw*(1/1000)))*1,".")</f>
        <v>7.272727272727274E-8</v>
      </c>
      <c r="E3" s="22">
        <f>IFERROR(IF(A3="H-3",(s_TR/(up_RadSpec!G3*s_EF_iw*s_ED_ind*(s_ET_iw_o+s_ET_iw_i)*(1/24)*s_IRA_iw*(1/17)*1000))*1,(s_TR/(up_RadSpec!G3*s_EF_iw*s_ED_ind*(s_ET_iw_o+s_ET_iw_i)*(1/24)*s_IRA_iw*(1/s_PEF_wind)*1000))*1),".")</f>
        <v>9.0250320889537203E-5</v>
      </c>
      <c r="F3" s="22">
        <f>IFERROR((s_TR/(up_RadSpec!F3*s_EF_iw*(1/365)*s_ED_ind*up_RadSpec!Q3*(s_ET_iw_o+s_ET_iw_i)*(1/24)*up_RadSpec!AA3))*1,".")</f>
        <v>5.5461038961038996E-2</v>
      </c>
      <c r="G3" s="22">
        <f t="shared" si="0"/>
        <v>7.2668618192965267E-8</v>
      </c>
      <c r="H3" s="43">
        <f t="shared" si="1"/>
        <v>137.5</v>
      </c>
      <c r="I3" s="43">
        <f t="shared" si="2"/>
        <v>0.11080293013295324</v>
      </c>
      <c r="J3" s="43">
        <f>s_C*s_EF_iw*(1/365)*s_ED_ind*(s_ET_iw_o+s_ET_iw_i)*(1/24)*up_RadSpec!AA3*up_RadSpec!Q3*1</f>
        <v>1.8030675564922134E-4</v>
      </c>
      <c r="K3" s="4"/>
      <c r="L3" s="4"/>
      <c r="M3" s="4"/>
      <c r="N3" s="4"/>
      <c r="O3" s="4"/>
      <c r="P3" s="22">
        <f>IFERROR((s_TR/(up_RadSpec!F3*s_EF_iw*(1/365)*s_ED_ind*up_RadSpec!Q3*(s_ET_iw_o+s_ET_iw_i)*(1/24)*up_RadSpec!AA3))*1,".")</f>
        <v>5.5461038961038996E-2</v>
      </c>
      <c r="Q3" s="22">
        <f>IFERROR((s_TR/(up_RadSpec!M3*s_EF_iw*(1/365)*s_ED_ind*up_RadSpec!R3*(s_ET_iw_o+s_ET_iw_i)*(1/24)*up_RadSpec!AB3))*1,".")</f>
        <v>7.7765437830810691E-2</v>
      </c>
      <c r="R3" s="22">
        <f>IFERROR((s_TR/(up_RadSpec!N3*s_EF_iw*(1/365)*s_ED_ind*up_RadSpec!S3*(s_ET_iw_o+s_ET_iw_i)*(1/24)*up_RadSpec!AC3))*1,".")</f>
        <v>5.8957307885484693E-2</v>
      </c>
      <c r="S3" s="22">
        <f>IFERROR((s_TR/(up_RadSpec!O3*s_EF_iw*(1/365)*s_ED_ind*up_RadSpec!T3*(s_ET_iw_o+s_ET_iw_i)*(1/24)*up_RadSpec!AD3))*1,".")</f>
        <v>6.0774208842005434E-2</v>
      </c>
      <c r="T3" s="22">
        <f>IFERROR((s_TR/(up_RadSpec!K3*s_EF_iw*(1/365)*s_ED_ind*up_RadSpec!P3*(s_ET_iw_o+s_ET_iw_i)*(1/24)*up_RadSpec!Z3))*1,".")</f>
        <v>0.12057046357486606</v>
      </c>
      <c r="U3" s="43">
        <f>s_C*s_EF_iw*(1/365)*s_ED_ind*(s_ET_iw_o+s_ET_iw_i)*(1/24)*up_RadSpec!AA3*up_RadSpec!Q3*1</f>
        <v>1.8030675564922134E-4</v>
      </c>
      <c r="V3" s="43">
        <f>s_C*s_EF_iw*(1/365)*s_ED_ind*(s_ET_iw_o+s_ET_iw_i)*(1/24)*up_RadSpec!AB3*up_RadSpec!R3*1</f>
        <v>1.2859183049616934E-4</v>
      </c>
      <c r="W3" s="43">
        <f>s_C*s_EF_iw*(1/365)*s_ED_ind*(s_ET_iw_o+s_ET_iw_i)*(1/24)*up_RadSpec!AC3*up_RadSpec!S3*1</f>
        <v>1.6961425747972467E-4</v>
      </c>
      <c r="X3" s="43">
        <f>s_C*s_EF_iw*(1/365)*s_ED_ind*(s_ET_iw_o+s_ET_iw_i)*(1/24)*up_RadSpec!AD3*up_RadSpec!T3*1</f>
        <v>1.6454348300933014E-4</v>
      </c>
      <c r="Y3" s="43">
        <f>s_C*s_EF_iw*(1/365)*s_ED_ind*(s_ET_iw_o+s_ET_iw_i)*(1/24)*up_RadSpec!Z3*up_RadSpec!P3*1</f>
        <v>8.2939052430454319E-5</v>
      </c>
      <c r="Z3" s="11"/>
      <c r="AA3" s="11"/>
      <c r="AB3" s="11"/>
      <c r="AC3" s="11"/>
      <c r="AD3" s="11"/>
      <c r="AE3" s="22">
        <f>IFERROR(s_TR/(up_RadSpec!G3*s_EF_iw*s_ED_ind*(s_ET_iw_o+s_ET_iw_i)*(1/24)*s_IRA_iw),".")</f>
        <v>2.9090909090909094E-10</v>
      </c>
      <c r="AF3" s="22">
        <f>IFERROR(s_TR/(up_RadSpec!J3*s_EF_iw*(1/365)*s_ED_ind*(s_ET_iw_o+s_ET_iw_i)*(1/24)*s_GSF_a),".")</f>
        <v>6.3709090909090908E-6</v>
      </c>
      <c r="AG3" s="22">
        <f>IFERROR(IF(AND(ISNUMBER(AE3),ISNUMBER(AF3)),1/((1/AE3)+(1/AF3)),IF(AND(ISNUMBER(AE3),NOT(ISNUMBER(AF3))),1/((1/AE3)),IF(AND(NOT(ISNUMBER(AE3)),ISNUMBER(AF3)),1/((1/AF3)),IF(AND(NOT(ISNUMBER(AE3)),NOT(ISNUMBER(AF3))),".")))),".")</f>
        <v>2.9089580799548386E-10</v>
      </c>
      <c r="AH3" s="43">
        <f t="shared" si="4"/>
        <v>34375</v>
      </c>
      <c r="AI3" s="43">
        <f t="shared" si="5"/>
        <v>1.5696347031963471</v>
      </c>
      <c r="AJ3" s="10"/>
      <c r="AK3" s="10"/>
      <c r="AL3" s="10"/>
    </row>
    <row r="4" spans="1:38" x14ac:dyDescent="0.25">
      <c r="A4" s="23" t="s">
        <v>14</v>
      </c>
      <c r="B4" s="24" t="s">
        <v>289</v>
      </c>
      <c r="C4" s="2"/>
      <c r="D4" s="22">
        <f>IFERROR((s_TR/(up_RadSpec!I4*s_EF_iw*s_ED_ind*s_IRS_iw*(1/1000)))*1,".")</f>
        <v>7.272727272727274E-8</v>
      </c>
      <c r="E4" s="22">
        <f>IFERROR(IF(A4="H-3",(s_TR/(up_RadSpec!G4*s_EF_iw*s_ED_ind*(s_ET_iw_o+s_ET_iw_i)*(1/24)*s_IRA_iw*(1/17)*1000))*1,(s_TR/(up_RadSpec!G4*s_EF_iw*s_ED_ind*(s_ET_iw_o+s_ET_iw_i)*(1/24)*s_IRA_iw*(1/s_PEF_wind)*1000))*1),".")</f>
        <v>9.0250320889537203E-5</v>
      </c>
      <c r="F4" s="22">
        <f>IFERROR((s_TR/(up_RadSpec!F4*s_EF_iw*(1/365)*s_ED_ind*up_RadSpec!Q4*(s_ET_iw_o+s_ET_iw_i)*(1/24)*up_RadSpec!AA4))*1,".")</f>
        <v>2.0646464646464658E-4</v>
      </c>
      <c r="G4" s="22">
        <f t="shared" si="0"/>
        <v>7.2643145428355633E-8</v>
      </c>
      <c r="H4" s="43">
        <f t="shared" si="1"/>
        <v>137.5</v>
      </c>
      <c r="I4" s="43">
        <f t="shared" si="2"/>
        <v>0.11080293013295324</v>
      </c>
      <c r="J4" s="43">
        <f>s_C*s_EF_iw*(1/365)*s_ED_ind*(s_ET_iw_o+s_ET_iw_i)*(1/24)*up_RadSpec!AA4*up_RadSpec!Q4*1</f>
        <v>4.8434442270058699E-2</v>
      </c>
      <c r="K4" s="4"/>
      <c r="L4" s="4"/>
      <c r="M4" s="4"/>
      <c r="N4" s="4"/>
      <c r="O4" s="4"/>
      <c r="P4" s="22">
        <f>IFERROR((s_TR/(up_RadSpec!F4*s_EF_iw*(1/365)*s_ED_ind*up_RadSpec!Q4*(s_ET_iw_o+s_ET_iw_i)*(1/24)*up_RadSpec!AA4))*1,".")</f>
        <v>2.0646464646464658E-4</v>
      </c>
      <c r="Q4" s="22">
        <f>IFERROR((s_TR/(up_RadSpec!M4*s_EF_iw*(1/365)*s_ED_ind*up_RadSpec!R4*(s_ET_iw_o+s_ET_iw_i)*(1/24)*up_RadSpec!AB4))*1,".")</f>
        <v>3.3692307692307711E-4</v>
      </c>
      <c r="R4" s="22">
        <f>IFERROR((s_TR/(up_RadSpec!N4*s_EF_iw*(1/365)*s_ED_ind*up_RadSpec!S4*(s_ET_iw_o+s_ET_iw_i)*(1/24)*up_RadSpec!AC4))*1,".")</f>
        <v>2.4237154150197625E-4</v>
      </c>
      <c r="S4" s="22">
        <f>IFERROR((s_TR/(up_RadSpec!O4*s_EF_iw*(1/365)*s_ED_ind*up_RadSpec!T4*(s_ET_iw_o+s_ET_iw_i)*(1/24)*up_RadSpec!AD4))*1,".")</f>
        <v>2.1098354141832406E-4</v>
      </c>
      <c r="T4" s="22">
        <f>IFERROR((s_TR/(up_RadSpec!K4*s_EF_iw*(1/365)*s_ED_ind*up_RadSpec!P4*(s_ET_iw_o+s_ET_iw_i)*(1/24)*up_RadSpec!Z4))*1,".")</f>
        <v>6.2221661833312307E-4</v>
      </c>
      <c r="U4" s="43">
        <f>s_C*s_EF_iw*(1/365)*s_ED_ind*(s_ET_iw_o+s_ET_iw_i)*(1/24)*up_RadSpec!AA4*up_RadSpec!Q4*1</f>
        <v>4.8434442270058699E-2</v>
      </c>
      <c r="V4" s="43">
        <f>s_C*s_EF_iw*(1/365)*s_ED_ind*(s_ET_iw_o+s_ET_iw_i)*(1/24)*up_RadSpec!AB4*up_RadSpec!R4*1</f>
        <v>2.9680365296803651E-2</v>
      </c>
      <c r="W4" s="43">
        <f>s_C*s_EF_iw*(1/365)*s_ED_ind*(s_ET_iw_o+s_ET_iw_i)*(1/24)*up_RadSpec!AC4*up_RadSpec!S4*1</f>
        <v>4.1258969341161141E-2</v>
      </c>
      <c r="X4" s="43">
        <f>s_C*s_EF_iw*(1/365)*s_ED_ind*(s_ET_iw_o+s_ET_iw_i)*(1/24)*up_RadSpec!AD4*up_RadSpec!T4*1</f>
        <v>4.7397062030410567E-2</v>
      </c>
      <c r="Y4" s="43">
        <f>s_C*s_EF_iw*(1/365)*s_ED_ind*(s_ET_iw_o+s_ET_iw_i)*(1/24)*up_RadSpec!Z4*up_RadSpec!P4*1</f>
        <v>1.6071573316041188E-2</v>
      </c>
      <c r="Z4" s="11"/>
      <c r="AA4" s="11"/>
      <c r="AB4" s="11"/>
      <c r="AC4" s="11"/>
      <c r="AD4" s="11"/>
      <c r="AE4" s="22">
        <f>IFERROR(s_TR/(up_RadSpec!G4*s_EF_iw*s_ED_ind*(s_ET_iw_o+s_ET_iw_i)*(1/24)*s_IRA_iw),".")</f>
        <v>2.9090909090909094E-10</v>
      </c>
      <c r="AF4" s="22">
        <f>IFERROR(s_TR/(up_RadSpec!J4*s_EF_iw*(1/365)*s_ED_ind*(s_ET_iw_o+s_ET_iw_i)*(1/24)*s_GSF_a),".")</f>
        <v>6.3709090909090908E-6</v>
      </c>
      <c r="AG4" s="22">
        <f t="shared" ref="AG4:AG30" si="6">IFERROR(IF(AND(ISNUMBER(AE4),ISNUMBER(AF4)),1/((1/AE4)+(1/AF4)),IF(AND(ISNUMBER(AE4),NOT(ISNUMBER(AF4))),1/((1/AE4)),IF(AND(NOT(ISNUMBER(AE4)),ISNUMBER(AF4)),1/((1/AF4)),IF(AND(NOT(ISNUMBER(AE4)),NOT(ISNUMBER(AF4))),".")))),".")</f>
        <v>2.9089580799548386E-10</v>
      </c>
      <c r="AH4" s="43">
        <f t="shared" si="4"/>
        <v>34375</v>
      </c>
      <c r="AI4" s="43">
        <f t="shared" si="5"/>
        <v>1.5696347031963471</v>
      </c>
      <c r="AJ4" s="10"/>
      <c r="AK4" s="10"/>
      <c r="AL4" s="10"/>
    </row>
    <row r="5" spans="1:38" x14ac:dyDescent="0.25">
      <c r="A5" s="23" t="s">
        <v>15</v>
      </c>
      <c r="B5" s="24" t="s">
        <v>289</v>
      </c>
      <c r="C5" s="109"/>
      <c r="D5" s="22">
        <f>IFERROR((s_TR/(up_RadSpec!I5*s_EF_iw*s_ED_ind*s_IRS_iw*(1/1000)))*1,".")</f>
        <v>7.272727272727274E-8</v>
      </c>
      <c r="E5" s="22">
        <f>IFERROR(IF(A5="H-3",(s_TR/(up_RadSpec!G5*s_EF_iw*s_ED_ind*(s_ET_iw_o+s_ET_iw_i)*(1/24)*s_IRA_iw*(1/17)*1000))*1,(s_TR/(up_RadSpec!G5*s_EF_iw*s_ED_ind*(s_ET_iw_o+s_ET_iw_i)*(1/24)*s_IRA_iw*(1/s_PEF_wind)*1000))*1),".")</f>
        <v>9.0250320889537203E-5</v>
      </c>
      <c r="F5" s="22" t="str">
        <f>IFERROR((s_TR/(up_RadSpec!F5*s_EF_iw*(1/365)*s_ED_ind*up_RadSpec!Q5*(s_ET_iw_o+s_ET_iw_i)*(1/24)*up_RadSpec!AA5))*1,".")</f>
        <v>.</v>
      </c>
      <c r="G5" s="22">
        <f t="shared" si="0"/>
        <v>7.26687134081846E-8</v>
      </c>
      <c r="H5" s="43">
        <f t="shared" si="1"/>
        <v>137.5</v>
      </c>
      <c r="I5" s="43">
        <f t="shared" si="2"/>
        <v>0.11080293013295324</v>
      </c>
      <c r="J5" s="43">
        <f>s_C*s_EF_iw*(1/365)*s_ED_ind*(s_ET_iw_o+s_ET_iw_i)*(1/24)*up_RadSpec!AA5*up_RadSpec!Q5*1</f>
        <v>0</v>
      </c>
      <c r="K5" s="4"/>
      <c r="L5" s="4"/>
      <c r="M5" s="4"/>
      <c r="N5" s="4"/>
      <c r="O5" s="4"/>
      <c r="P5" s="22" t="str">
        <f>IFERROR((s_TR/(up_RadSpec!F5*s_EF_iw*(1/365)*s_ED_ind*up_RadSpec!Q5*(s_ET_iw_o+s_ET_iw_i)*(1/24)*up_RadSpec!AA5))*1,".")</f>
        <v>.</v>
      </c>
      <c r="Q5" s="22" t="str">
        <f>IFERROR((s_TR/(up_RadSpec!M5*s_EF_iw*(1/365)*s_ED_ind*up_RadSpec!R5*(s_ET_iw_o+s_ET_iw_i)*(1/24)*up_RadSpec!AB5))*1,".")</f>
        <v>.</v>
      </c>
      <c r="R5" s="22" t="str">
        <f>IFERROR((s_TR/(up_RadSpec!N5*s_EF_iw*(1/365)*s_ED_ind*up_RadSpec!S5*(s_ET_iw_o+s_ET_iw_i)*(1/24)*up_RadSpec!AC5))*1,".")</f>
        <v>.</v>
      </c>
      <c r="S5" s="22" t="str">
        <f>IFERROR((s_TR/(up_RadSpec!O5*s_EF_iw*(1/365)*s_ED_ind*up_RadSpec!T5*(s_ET_iw_o+s_ET_iw_i)*(1/24)*up_RadSpec!AD5))*1,".")</f>
        <v>.</v>
      </c>
      <c r="T5" s="22" t="str">
        <f>IFERROR((s_TR/(up_RadSpec!K5*s_EF_iw*(1/365)*s_ED_ind*up_RadSpec!P5*(s_ET_iw_o+s_ET_iw_i)*(1/24)*up_RadSpec!Z5))*1,".")</f>
        <v>.</v>
      </c>
      <c r="U5" s="43">
        <f>s_C*s_EF_iw*(1/365)*s_ED_ind*(s_ET_iw_o+s_ET_iw_i)*(1/24)*up_RadSpec!AA5*up_RadSpec!Q5*1</f>
        <v>0</v>
      </c>
      <c r="V5" s="43">
        <f>s_C*s_EF_iw*(1/365)*s_ED_ind*(s_ET_iw_o+s_ET_iw_i)*(1/24)*up_RadSpec!AB5*up_RadSpec!R5*1</f>
        <v>0</v>
      </c>
      <c r="W5" s="43">
        <f>s_C*s_EF_iw*(1/365)*s_ED_ind*(s_ET_iw_o+s_ET_iw_i)*(1/24)*up_RadSpec!AC5*up_RadSpec!S5*1</f>
        <v>0</v>
      </c>
      <c r="X5" s="43">
        <f>s_C*s_EF_iw*(1/365)*s_ED_ind*(s_ET_iw_o+s_ET_iw_i)*(1/24)*up_RadSpec!AD5*up_RadSpec!T5*1</f>
        <v>0</v>
      </c>
      <c r="Y5" s="43">
        <f>s_C*s_EF_iw*(1/365)*s_ED_ind*(s_ET_iw_o+s_ET_iw_i)*(1/24)*up_RadSpec!Z5*up_RadSpec!P5*1</f>
        <v>0</v>
      </c>
      <c r="Z5" s="11"/>
      <c r="AA5" s="11"/>
      <c r="AB5" s="11"/>
      <c r="AC5" s="11"/>
      <c r="AD5" s="11"/>
      <c r="AE5" s="22">
        <f>IFERROR(s_TR/(up_RadSpec!G5*s_EF_iw*s_ED_ind*(s_ET_iw_o+s_ET_iw_i)*(1/24)*s_IRA_iw),".")</f>
        <v>2.9090909090909094E-10</v>
      </c>
      <c r="AF5" s="22">
        <f>IFERROR(s_TR/(up_RadSpec!J5*s_EF_iw*(1/365)*s_ED_ind*(s_ET_iw_o+s_ET_iw_i)*(1/24)*s_GSF_a),".")</f>
        <v>6.3709090909090908E-6</v>
      </c>
      <c r="AG5" s="22">
        <f t="shared" si="6"/>
        <v>2.9089580799548386E-10</v>
      </c>
      <c r="AH5" s="43">
        <f t="shared" si="4"/>
        <v>34375</v>
      </c>
      <c r="AI5" s="43">
        <f t="shared" si="5"/>
        <v>1.5696347031963471</v>
      </c>
      <c r="AJ5" s="10"/>
      <c r="AK5" s="10"/>
      <c r="AL5" s="10"/>
    </row>
    <row r="6" spans="1:38" x14ac:dyDescent="0.25">
      <c r="A6" s="23" t="s">
        <v>16</v>
      </c>
      <c r="B6" s="24" t="s">
        <v>289</v>
      </c>
      <c r="C6" s="2"/>
      <c r="D6" s="22">
        <f>IFERROR((s_TR/(up_RadSpec!I6*s_EF_iw*s_ED_ind*s_IRS_iw*(1/1000)))*1,".")</f>
        <v>7.272727272727274E-8</v>
      </c>
      <c r="E6" s="22">
        <f>IFERROR(IF(A6="H-3",(s_TR/(up_RadSpec!G6*s_EF_iw*s_ED_ind*(s_ET_iw_o+s_ET_iw_i)*(1/24)*s_IRA_iw*(1/17)*1000))*1,(s_TR/(up_RadSpec!G6*s_EF_iw*s_ED_ind*(s_ET_iw_o+s_ET_iw_i)*(1/24)*s_IRA_iw*(1/s_PEF_wind)*1000))*1),".")</f>
        <v>9.0250320889537203E-5</v>
      </c>
      <c r="F6" s="22">
        <f>IFERROR((s_TR/(up_RadSpec!F6*s_EF_iw*(1/365)*s_ED_ind*up_RadSpec!Q6*(s_ET_iw_o+s_ET_iw_i)*(1/24)*up_RadSpec!AA6))*1,".")</f>
        <v>1.061168231899939E-4</v>
      </c>
      <c r="G6" s="22">
        <f t="shared" si="0"/>
        <v>7.2618983987563549E-8</v>
      </c>
      <c r="H6" s="43">
        <f t="shared" si="1"/>
        <v>137.5</v>
      </c>
      <c r="I6" s="43">
        <f t="shared" si="2"/>
        <v>0.11080293013295324</v>
      </c>
      <c r="J6" s="43">
        <f>s_C*s_EF_iw*(1/365)*s_ED_ind*(s_ET_iw_o+s_ET_iw_i)*(1/24)*up_RadSpec!AA6*up_RadSpec!Q6*1</f>
        <v>9.4235764880520254E-2</v>
      </c>
      <c r="K6" s="4"/>
      <c r="L6" s="4"/>
      <c r="M6" s="4"/>
      <c r="N6" s="4"/>
      <c r="O6" s="4"/>
      <c r="P6" s="22">
        <f>IFERROR((s_TR/(up_RadSpec!F6*s_EF_iw*(1/365)*s_ED_ind*up_RadSpec!Q6*(s_ET_iw_o+s_ET_iw_i)*(1/24)*up_RadSpec!AA6))*1,".")</f>
        <v>1.061168231899939E-4</v>
      </c>
      <c r="Q6" s="22">
        <f>IFERROR((s_TR/(up_RadSpec!M6*s_EF_iw*(1/365)*s_ED_ind*up_RadSpec!R6*(s_ET_iw_o+s_ET_iw_i)*(1/24)*up_RadSpec!AB6))*1,".")</f>
        <v>1.9810247761123119E-4</v>
      </c>
      <c r="R6" s="22">
        <f>IFERROR((s_TR/(up_RadSpec!N6*s_EF_iw*(1/365)*s_ED_ind*up_RadSpec!S6*(s_ET_iw_o+s_ET_iw_i)*(1/24)*up_RadSpec!AC6))*1,".")</f>
        <v>1.3999143299614492E-4</v>
      </c>
      <c r="S6" s="22">
        <f>IFERROR((s_TR/(up_RadSpec!O6*s_EF_iw*(1/365)*s_ED_ind*up_RadSpec!T6*(s_ET_iw_o+s_ET_iw_i)*(1/24)*up_RadSpec!AD6))*1,".")</f>
        <v>1.1576767676767673E-4</v>
      </c>
      <c r="T6" s="22">
        <f>IFERROR((s_TR/(up_RadSpec!K6*s_EF_iw*(1/365)*s_ED_ind*up_RadSpec!P6*(s_ET_iw_o+s_ET_iw_i)*(1/24)*up_RadSpec!Z6))*1,".")</f>
        <v>3.3276353276353291E-4</v>
      </c>
      <c r="U6" s="43">
        <f>s_C*s_EF_iw*(1/365)*s_ED_ind*(s_ET_iw_o+s_ET_iw_i)*(1/24)*up_RadSpec!AA6*up_RadSpec!Q6*1</f>
        <v>9.4235764880520254E-2</v>
      </c>
      <c r="V6" s="43">
        <f>s_C*s_EF_iw*(1/365)*s_ED_ind*(s_ET_iw_o+s_ET_iw_i)*(1/24)*up_RadSpec!AB6*up_RadSpec!R6*1</f>
        <v>5.0478924446490936E-2</v>
      </c>
      <c r="W6" s="43">
        <f>s_C*s_EF_iw*(1/365)*s_ED_ind*(s_ET_iw_o+s_ET_iw_i)*(1/24)*up_RadSpec!AC6*up_RadSpec!S6*1</f>
        <v>7.1432942616391285E-2</v>
      </c>
      <c r="X6" s="43">
        <f>s_C*s_EF_iw*(1/365)*s_ED_ind*(s_ET_iw_o+s_ET_iw_i)*(1/24)*up_RadSpec!AD6*up_RadSpec!T6*1</f>
        <v>8.6379897042142967E-2</v>
      </c>
      <c r="Y6" s="43">
        <f>s_C*s_EF_iw*(1/365)*s_ED_ind*(s_ET_iw_o+s_ET_iw_i)*(1/24)*up_RadSpec!Z6*up_RadSpec!P6*1</f>
        <v>3.0051369863013693E-2</v>
      </c>
      <c r="Z6" s="11"/>
      <c r="AA6" s="11"/>
      <c r="AB6" s="11"/>
      <c r="AC6" s="11"/>
      <c r="AD6" s="11"/>
      <c r="AE6" s="22">
        <f>IFERROR(s_TR/(up_RadSpec!G6*s_EF_iw*s_ED_ind*(s_ET_iw_o+s_ET_iw_i)*(1/24)*s_IRA_iw),".")</f>
        <v>2.9090909090909094E-10</v>
      </c>
      <c r="AF6" s="22">
        <f>IFERROR(s_TR/(up_RadSpec!J6*s_EF_iw*(1/365)*s_ED_ind*(s_ET_iw_o+s_ET_iw_i)*(1/24)*s_GSF_a),".")</f>
        <v>6.3709090909090908E-6</v>
      </c>
      <c r="AG6" s="22">
        <f t="shared" si="6"/>
        <v>2.9089580799548386E-10</v>
      </c>
      <c r="AH6" s="43">
        <f t="shared" si="4"/>
        <v>34375</v>
      </c>
      <c r="AI6" s="43">
        <f t="shared" si="5"/>
        <v>1.5696347031963471</v>
      </c>
      <c r="AJ6" s="10"/>
      <c r="AK6" s="10"/>
      <c r="AL6" s="10"/>
    </row>
    <row r="7" spans="1:38" x14ac:dyDescent="0.25">
      <c r="A7" s="23" t="s">
        <v>17</v>
      </c>
      <c r="B7" s="24" t="s">
        <v>289</v>
      </c>
      <c r="C7" s="109"/>
      <c r="D7" s="22">
        <f>IFERROR((s_TR/(up_RadSpec!I7*s_EF_iw*s_ED_ind*s_IRS_iw*(1/1000)))*1,".")</f>
        <v>7.272727272727274E-8</v>
      </c>
      <c r="E7" s="22">
        <f>IFERROR(IF(A7="H-3",(s_TR/(up_RadSpec!G7*s_EF_iw*s_ED_ind*(s_ET_iw_o+s_ET_iw_i)*(1/24)*s_IRA_iw*(1/17)*1000))*1,(s_TR/(up_RadSpec!G7*s_EF_iw*s_ED_ind*(s_ET_iw_o+s_ET_iw_i)*(1/24)*s_IRA_iw*(1/s_PEF_wind)*1000))*1),".")</f>
        <v>9.0250320889537203E-5</v>
      </c>
      <c r="F7" s="22">
        <f>IFERROR((s_TR/(up_RadSpec!F7*s_EF_iw*(1/365)*s_ED_ind*up_RadSpec!Q7*(s_ET_iw_o+s_ET_iw_i)*(1/24)*up_RadSpec!AA7))*1,".")</f>
        <v>2.296084936960849E-4</v>
      </c>
      <c r="G7" s="22">
        <f t="shared" si="0"/>
        <v>7.2645721788615091E-8</v>
      </c>
      <c r="H7" s="43">
        <f t="shared" si="1"/>
        <v>137.5</v>
      </c>
      <c r="I7" s="43">
        <f t="shared" si="2"/>
        <v>0.11080293013295324</v>
      </c>
      <c r="J7" s="43">
        <f>s_C*s_EF_iw*(1/365)*s_ED_ind*(s_ET_iw_o+s_ET_iw_i)*(1/24)*up_RadSpec!AA7*up_RadSpec!Q7*1</f>
        <v>4.355239581527081E-2</v>
      </c>
      <c r="K7" s="4"/>
      <c r="L7" s="4"/>
      <c r="M7" s="4"/>
      <c r="N7" s="4"/>
      <c r="O7" s="4"/>
      <c r="P7" s="22">
        <f>IFERROR((s_TR/(up_RadSpec!F7*s_EF_iw*(1/365)*s_ED_ind*up_RadSpec!Q7*(s_ET_iw_o+s_ET_iw_i)*(1/24)*up_RadSpec!AA7))*1,".")</f>
        <v>2.296084936960849E-4</v>
      </c>
      <c r="Q7" s="22">
        <f>IFERROR((s_TR/(up_RadSpec!M7*s_EF_iw*(1/365)*s_ED_ind*up_RadSpec!R7*(s_ET_iw_o+s_ET_iw_i)*(1/24)*up_RadSpec!AB7))*1,".")</f>
        <v>3.6527883880825085E-4</v>
      </c>
      <c r="R7" s="22">
        <f>IFERROR((s_TR/(up_RadSpec!N7*s_EF_iw*(1/365)*s_ED_ind*up_RadSpec!S7*(s_ET_iw_o+s_ET_iw_i)*(1/24)*up_RadSpec!AC7))*1,".")</f>
        <v>2.6761363636363642E-4</v>
      </c>
      <c r="S7" s="22">
        <f>IFERROR((s_TR/(up_RadSpec!O7*s_EF_iw*(1/365)*s_ED_ind*up_RadSpec!T7*(s_ET_iw_o+s_ET_iw_i)*(1/24)*up_RadSpec!AD7))*1,".")</f>
        <v>2.461783991950872E-4</v>
      </c>
      <c r="T7" s="22">
        <f>IFERROR((s_TR/(up_RadSpec!K7*s_EF_iw*(1/365)*s_ED_ind*up_RadSpec!P7*(s_ET_iw_o+s_ET_iw_i)*(1/24)*up_RadSpec!Z7))*1,".")</f>
        <v>6.2510591013264789E-4</v>
      </c>
      <c r="U7" s="43">
        <f>s_C*s_EF_iw*(1/365)*s_ED_ind*(s_ET_iw_o+s_ET_iw_i)*(1/24)*up_RadSpec!AA7*up_RadSpec!Q7*1</f>
        <v>4.355239581527081E-2</v>
      </c>
      <c r="V7" s="43">
        <f>s_C*s_EF_iw*(1/365)*s_ED_ind*(s_ET_iw_o+s_ET_iw_i)*(1/24)*up_RadSpec!AB7*up_RadSpec!R7*1</f>
        <v>2.7376346334832154E-2</v>
      </c>
      <c r="W7" s="43">
        <f>s_C*s_EF_iw*(1/365)*s_ED_ind*(s_ET_iw_o+s_ET_iw_i)*(1/24)*up_RadSpec!AC7*up_RadSpec!S7*1</f>
        <v>3.7367303609341825E-2</v>
      </c>
      <c r="X7" s="43">
        <f>s_C*s_EF_iw*(1/365)*s_ED_ind*(s_ET_iw_o+s_ET_iw_i)*(1/24)*up_RadSpec!AD7*up_RadSpec!T7*1</f>
        <v>4.0620948193246541E-2</v>
      </c>
      <c r="Y7" s="43">
        <f>s_C*s_EF_iw*(1/365)*s_ED_ind*(s_ET_iw_o+s_ET_iw_i)*(1/24)*up_RadSpec!Z7*up_RadSpec!P7*1</f>
        <v>1.5997289159972901E-2</v>
      </c>
      <c r="Z7" s="11"/>
      <c r="AA7" s="11"/>
      <c r="AB7" s="11"/>
      <c r="AC7" s="11"/>
      <c r="AD7" s="11"/>
      <c r="AE7" s="22">
        <f>IFERROR(s_TR/(up_RadSpec!G7*s_EF_iw*s_ED_ind*(s_ET_iw_o+s_ET_iw_i)*(1/24)*s_IRA_iw),".")</f>
        <v>2.9090909090909094E-10</v>
      </c>
      <c r="AF7" s="22">
        <f>IFERROR(s_TR/(up_RadSpec!J7*s_EF_iw*(1/365)*s_ED_ind*(s_ET_iw_o+s_ET_iw_i)*(1/24)*s_GSF_a),".")</f>
        <v>6.3709090909090908E-6</v>
      </c>
      <c r="AG7" s="22">
        <f t="shared" si="6"/>
        <v>2.9089580799548386E-10</v>
      </c>
      <c r="AH7" s="43">
        <f t="shared" si="4"/>
        <v>34375</v>
      </c>
      <c r="AI7" s="43">
        <f t="shared" si="5"/>
        <v>1.5696347031963471</v>
      </c>
      <c r="AJ7" s="10"/>
      <c r="AK7" s="10"/>
      <c r="AL7" s="10"/>
    </row>
    <row r="8" spans="1:38" x14ac:dyDescent="0.25">
      <c r="A8" s="23" t="s">
        <v>18</v>
      </c>
      <c r="B8" s="24" t="s">
        <v>289</v>
      </c>
      <c r="C8" s="2"/>
      <c r="D8" s="22">
        <f>IFERROR((s_TR/(up_RadSpec!I8*s_EF_iw*s_ED_ind*s_IRS_iw*(1/1000)))*1,".")</f>
        <v>7.272727272727274E-8</v>
      </c>
      <c r="E8" s="22">
        <f>IFERROR(IF(A8="H-3",(s_TR/(up_RadSpec!G8*s_EF_iw*s_ED_ind*(s_ET_iw_o+s_ET_iw_i)*(1/24)*s_IRA_iw*(1/17)*1000))*1,(s_TR/(up_RadSpec!G8*s_EF_iw*s_ED_ind*(s_ET_iw_o+s_ET_iw_i)*(1/24)*s_IRA_iw*(1/s_PEF_wind)*1000))*1),".")</f>
        <v>9.0250320889537203E-5</v>
      </c>
      <c r="F8" s="22">
        <f>IFERROR((s_TR/(up_RadSpec!F8*s_EF_iw*(1/365)*s_ED_ind*up_RadSpec!Q8*(s_ET_iw_o+s_ET_iw_i)*(1/24)*up_RadSpec!AA8))*1,".")</f>
        <v>1.3199397287795084E-4</v>
      </c>
      <c r="G8" s="22">
        <f t="shared" si="0"/>
        <v>7.2628727974733961E-8</v>
      </c>
      <c r="H8" s="43">
        <f t="shared" si="1"/>
        <v>137.5</v>
      </c>
      <c r="I8" s="43">
        <f t="shared" si="2"/>
        <v>0.11080293013295324</v>
      </c>
      <c r="J8" s="43">
        <f>s_C*s_EF_iw*(1/365)*s_ED_ind*(s_ET_iw_o+s_ET_iw_i)*(1/24)*up_RadSpec!AA8*up_RadSpec!Q8*1</f>
        <v>7.5761035007610333E-2</v>
      </c>
      <c r="K8" s="4"/>
      <c r="L8" s="4"/>
      <c r="M8" s="4"/>
      <c r="N8" s="4"/>
      <c r="O8" s="4"/>
      <c r="P8" s="22">
        <f>IFERROR((s_TR/(up_RadSpec!F8*s_EF_iw*(1/365)*s_ED_ind*up_RadSpec!Q8*(s_ET_iw_o+s_ET_iw_i)*(1/24)*up_RadSpec!AA8))*1,".")</f>
        <v>1.3199397287795084E-4</v>
      </c>
      <c r="Q8" s="22">
        <f>IFERROR((s_TR/(up_RadSpec!M8*s_EF_iw*(1/365)*s_ED_ind*up_RadSpec!R8*(s_ET_iw_o+s_ET_iw_i)*(1/24)*up_RadSpec!AB8))*1,".")</f>
        <v>2.4230130923842891E-4</v>
      </c>
      <c r="R8" s="22">
        <f>IFERROR((s_TR/(up_RadSpec!N8*s_EF_iw*(1/365)*s_ED_ind*up_RadSpec!S8*(s_ET_iw_o+s_ET_iw_i)*(1/24)*up_RadSpec!AC8))*1,".")</f>
        <v>1.7685740655283807E-4</v>
      </c>
      <c r="S8" s="22">
        <f>IFERROR((s_TR/(up_RadSpec!O8*s_EF_iw*(1/365)*s_ED_ind*up_RadSpec!T8*(s_ET_iw_o+s_ET_iw_i)*(1/24)*up_RadSpec!AD8))*1,".")</f>
        <v>1.621503245822145E-4</v>
      </c>
      <c r="T8" s="22">
        <f>IFERROR((s_TR/(up_RadSpec!K8*s_EF_iw*(1/365)*s_ED_ind*up_RadSpec!P8*(s_ET_iw_o+s_ET_iw_i)*(1/24)*up_RadSpec!Z8))*1,".")</f>
        <v>4.4895668090298962E-4</v>
      </c>
      <c r="U8" s="43">
        <f>s_C*s_EF_iw*(1/365)*s_ED_ind*(s_ET_iw_o+s_ET_iw_i)*(1/24)*up_RadSpec!AA8*up_RadSpec!Q8*1</f>
        <v>7.5761035007610333E-2</v>
      </c>
      <c r="V8" s="43">
        <f>s_C*s_EF_iw*(1/365)*s_ED_ind*(s_ET_iw_o+s_ET_iw_i)*(1/24)*up_RadSpec!AB8*up_RadSpec!R8*1</f>
        <v>4.1270928462709293E-2</v>
      </c>
      <c r="W8" s="43">
        <f>s_C*s_EF_iw*(1/365)*s_ED_ind*(s_ET_iw_o+s_ET_iw_i)*(1/24)*up_RadSpec!AC8*up_RadSpec!S8*1</f>
        <v>5.6542726679712982E-2</v>
      </c>
      <c r="X8" s="43">
        <f>s_C*s_EF_iw*(1/365)*s_ED_ind*(s_ET_iw_o+s_ET_iw_i)*(1/24)*up_RadSpec!AD8*up_RadSpec!T8*1</f>
        <v>6.1671168563894783E-2</v>
      </c>
      <c r="Y8" s="43">
        <f>s_C*s_EF_iw*(1/365)*s_ED_ind*(s_ET_iw_o+s_ET_iw_i)*(1/24)*up_RadSpec!Z8*up_RadSpec!P8*1</f>
        <v>2.2273863883452927E-2</v>
      </c>
      <c r="Z8" s="11"/>
      <c r="AA8" s="11"/>
      <c r="AB8" s="11"/>
      <c r="AC8" s="11"/>
      <c r="AD8" s="11"/>
      <c r="AE8" s="22">
        <f>IFERROR(s_TR/(up_RadSpec!G8*s_EF_iw*s_ED_ind*(s_ET_iw_o+s_ET_iw_i)*(1/24)*s_IRA_iw),".")</f>
        <v>2.9090909090909094E-10</v>
      </c>
      <c r="AF8" s="22">
        <f>IFERROR(s_TR/(up_RadSpec!J8*s_EF_iw*(1/365)*s_ED_ind*(s_ET_iw_o+s_ET_iw_i)*(1/24)*s_GSF_a),".")</f>
        <v>6.3709090909090908E-6</v>
      </c>
      <c r="AG8" s="22">
        <f t="shared" si="6"/>
        <v>2.9089580799548386E-10</v>
      </c>
      <c r="AH8" s="43">
        <f t="shared" si="4"/>
        <v>34375</v>
      </c>
      <c r="AI8" s="43">
        <f t="shared" si="5"/>
        <v>1.5696347031963471</v>
      </c>
      <c r="AJ8" s="10"/>
      <c r="AK8" s="10"/>
      <c r="AL8" s="10"/>
    </row>
    <row r="9" spans="1:38" x14ac:dyDescent="0.25">
      <c r="A9" s="23" t="s">
        <v>19</v>
      </c>
      <c r="B9" s="24" t="s">
        <v>289</v>
      </c>
      <c r="C9" s="109"/>
      <c r="D9" s="22">
        <f>IFERROR((s_TR/(up_RadSpec!I9*s_EF_iw*s_ED_ind*s_IRS_iw*(1/1000)))*1,".")</f>
        <v>7.272727272727274E-8</v>
      </c>
      <c r="E9" s="22">
        <f>IFERROR(IF(A9="H-3",(s_TR/(up_RadSpec!G9*s_EF_iw*s_ED_ind*(s_ET_iw_o+s_ET_iw_i)*(1/24)*s_IRA_iw*(1/17)*1000))*1,(s_TR/(up_RadSpec!G9*s_EF_iw*s_ED_ind*(s_ET_iw_o+s_ET_iw_i)*(1/24)*s_IRA_iw*(1/s_PEF_wind)*1000))*1),".")</f>
        <v>9.0250320889537203E-5</v>
      </c>
      <c r="F9" s="22">
        <f>IFERROR((s_TR/(up_RadSpec!F9*s_EF_iw*(1/365)*s_ED_ind*up_RadSpec!Q9*(s_ET_iw_o+s_ET_iw_i)*(1/24)*up_RadSpec!AA9))*1,".")</f>
        <v>6.5005453262333975E-5</v>
      </c>
      <c r="G9" s="22">
        <f t="shared" si="0"/>
        <v>7.2587568750839236E-8</v>
      </c>
      <c r="H9" s="43">
        <f t="shared" si="1"/>
        <v>137.5</v>
      </c>
      <c r="I9" s="43">
        <f t="shared" si="2"/>
        <v>0.11080293013295324</v>
      </c>
      <c r="J9" s="43">
        <f>s_C*s_EF_iw*(1/365)*s_ED_ind*(s_ET_iw_o+s_ET_iw_i)*(1/24)*up_RadSpec!AA9*up_RadSpec!Q9*1</f>
        <v>0.15383324779913946</v>
      </c>
      <c r="K9" s="4"/>
      <c r="L9" s="4"/>
      <c r="M9" s="4"/>
      <c r="N9" s="4"/>
      <c r="O9" s="4"/>
      <c r="P9" s="22">
        <f>IFERROR((s_TR/(up_RadSpec!F9*s_EF_iw*(1/365)*s_ED_ind*up_RadSpec!Q9*(s_ET_iw_o+s_ET_iw_i)*(1/24)*up_RadSpec!AA9))*1,".")</f>
        <v>6.5005453262333975E-5</v>
      </c>
      <c r="Q9" s="22">
        <f>IFERROR((s_TR/(up_RadSpec!M9*s_EF_iw*(1/365)*s_ED_ind*up_RadSpec!R9*(s_ET_iw_o+s_ET_iw_i)*(1/24)*up_RadSpec!AB9))*1,".")</f>
        <v>1.3314204545454553E-4</v>
      </c>
      <c r="R9" s="22">
        <f>IFERROR((s_TR/(up_RadSpec!N9*s_EF_iw*(1/365)*s_ED_ind*up_RadSpec!S9*(s_ET_iw_o+s_ET_iw_i)*(1/24)*up_RadSpec!AC9))*1,".")</f>
        <v>9.3681348558999521E-5</v>
      </c>
      <c r="S9" s="22">
        <f>IFERROR((s_TR/(up_RadSpec!O9*s_EF_iw*(1/365)*s_ED_ind*up_RadSpec!T9*(s_ET_iw_o+s_ET_iw_i)*(1/24)*up_RadSpec!AD9))*1,".")</f>
        <v>7.7223140495867763E-5</v>
      </c>
      <c r="T9" s="22">
        <f>IFERROR((s_TR/(up_RadSpec!K9*s_EF_iw*(1/365)*s_ED_ind*up_RadSpec!P9*(s_ET_iw_o+s_ET_iw_i)*(1/24)*up_RadSpec!Z9))*1,".")</f>
        <v>2.3583177385994296E-4</v>
      </c>
      <c r="U9" s="43">
        <f>s_C*s_EF_iw*(1/365)*s_ED_ind*(s_ET_iw_o+s_ET_iw_i)*(1/24)*up_RadSpec!AA9*up_RadSpec!Q9*1</f>
        <v>0.15383324779913946</v>
      </c>
      <c r="V9" s="43">
        <f>s_C*s_EF_iw*(1/365)*s_ED_ind*(s_ET_iw_o+s_ET_iw_i)*(1/24)*up_RadSpec!AB9*up_RadSpec!R9*1</f>
        <v>7.5107754022105552E-2</v>
      </c>
      <c r="W9" s="43">
        <f>s_C*s_EF_iw*(1/365)*s_ED_ind*(s_ET_iw_o+s_ET_iw_i)*(1/24)*up_RadSpec!AC9*up_RadSpec!S9*1</f>
        <v>0.10674483399117708</v>
      </c>
      <c r="X9" s="43">
        <f>s_C*s_EF_iw*(1/365)*s_ED_ind*(s_ET_iw_o+s_ET_iw_i)*(1/24)*up_RadSpec!AD9*up_RadSpec!T9*1</f>
        <v>0.12949486301369867</v>
      </c>
      <c r="Y9" s="43">
        <f>s_C*s_EF_iw*(1/365)*s_ED_ind*(s_ET_iw_o+s_ET_iw_i)*(1/24)*up_RadSpec!Z9*up_RadSpec!P9*1</f>
        <v>4.2403107250250573E-2</v>
      </c>
      <c r="Z9" s="11"/>
      <c r="AA9" s="11"/>
      <c r="AB9" s="11"/>
      <c r="AC9" s="11"/>
      <c r="AD9" s="11"/>
      <c r="AE9" s="22">
        <f>IFERROR(s_TR/(up_RadSpec!G9*s_EF_iw*s_ED_ind*(s_ET_iw_o+s_ET_iw_i)*(1/24)*s_IRA_iw),".")</f>
        <v>2.9090909090909094E-10</v>
      </c>
      <c r="AF9" s="22">
        <f>IFERROR(s_TR/(up_RadSpec!J9*s_EF_iw*(1/365)*s_ED_ind*(s_ET_iw_o+s_ET_iw_i)*(1/24)*s_GSF_a),".")</f>
        <v>6.3709090909090908E-6</v>
      </c>
      <c r="AG9" s="22">
        <f t="shared" si="6"/>
        <v>2.9089580799548386E-10</v>
      </c>
      <c r="AH9" s="43">
        <f t="shared" si="4"/>
        <v>34375</v>
      </c>
      <c r="AI9" s="43">
        <f t="shared" si="5"/>
        <v>1.5696347031963471</v>
      </c>
      <c r="AJ9" s="10"/>
      <c r="AK9" s="10"/>
      <c r="AL9" s="10"/>
    </row>
    <row r="10" spans="1:38" x14ac:dyDescent="0.25">
      <c r="A10" s="25" t="s">
        <v>20</v>
      </c>
      <c r="B10" s="24" t="s">
        <v>275</v>
      </c>
      <c r="C10" s="2"/>
      <c r="D10" s="22">
        <f>IFERROR((s_TR/(up_RadSpec!I10*s_EF_iw*s_ED_ind*s_IRS_iw*(1/1000)))*1,".")</f>
        <v>7.272727272727274E-8</v>
      </c>
      <c r="E10" s="22">
        <f>IFERROR(IF(A10="H-3",(s_TR/(up_RadSpec!G10*s_EF_iw*s_ED_ind*(s_ET_iw_o+s_ET_iw_i)*(1/24)*s_IRA_iw*(1/17)*1000))*1,(s_TR/(up_RadSpec!G10*s_EF_iw*s_ED_ind*(s_ET_iw_o+s_ET_iw_i)*(1/24)*s_IRA_iw*(1/s_PEF_wind)*1000))*1),".")</f>
        <v>9.0250320889537203E-5</v>
      </c>
      <c r="F10" s="22">
        <f>IFERROR((s_TR/(up_RadSpec!F10*s_EF_iw*(1/365)*s_ED_ind*up_RadSpec!Q10*(s_ET_iw_o+s_ET_iw_i)*(1/24)*up_RadSpec!AA10))*1,".")</f>
        <v>1.243844155844156E-4</v>
      </c>
      <c r="G10" s="22">
        <f t="shared" si="0"/>
        <v>7.2626283184640529E-8</v>
      </c>
      <c r="H10" s="43">
        <f t="shared" si="1"/>
        <v>137.5</v>
      </c>
      <c r="I10" s="43">
        <f t="shared" si="2"/>
        <v>0.11080293013295324</v>
      </c>
      <c r="J10" s="43">
        <f>s_C*s_EF_iw*(1/365)*s_ED_ind*(s_ET_iw_o+s_ET_iw_i)*(1/24)*up_RadSpec!AA10*up_RadSpec!Q10*1</f>
        <v>8.0395923822251927E-2</v>
      </c>
      <c r="K10" s="4"/>
      <c r="L10" s="4"/>
      <c r="M10" s="4"/>
      <c r="N10" s="4"/>
      <c r="O10" s="4"/>
      <c r="P10" s="22">
        <f>IFERROR((s_TR/(up_RadSpec!F10*s_EF_iw*(1/365)*s_ED_ind*up_RadSpec!Q10*(s_ET_iw_o+s_ET_iw_i)*(1/24)*up_RadSpec!AA10))*1,".")</f>
        <v>1.243844155844156E-4</v>
      </c>
      <c r="Q10" s="22">
        <f>IFERROR((s_TR/(up_RadSpec!M10*s_EF_iw*(1/365)*s_ED_ind*up_RadSpec!R10*(s_ET_iw_o+s_ET_iw_i)*(1/24)*up_RadSpec!AB10))*1,".")</f>
        <v>1.9382395382395377E-4</v>
      </c>
      <c r="R10" s="22">
        <f>IFERROR((s_TR/(up_RadSpec!N10*s_EF_iw*(1/365)*s_ED_ind*up_RadSpec!S10*(s_ET_iw_o+s_ET_iw_i)*(1/24)*up_RadSpec!AC10))*1,".")</f>
        <v>1.3841566354189986E-4</v>
      </c>
      <c r="S10" s="22">
        <f>IFERROR((s_TR/(up_RadSpec!O10*s_EF_iw*(1/365)*s_ED_ind*up_RadSpec!T10*(s_ET_iw_o+s_ET_iw_i)*(1/24)*up_RadSpec!AD10))*1,".")</f>
        <v>1.2659729828404527E-4</v>
      </c>
      <c r="T10" s="22">
        <f>IFERROR((s_TR/(up_RadSpec!K10*s_EF_iw*(1/365)*s_ED_ind*up_RadSpec!P10*(s_ET_iw_o+s_ET_iw_i)*(1/24)*up_RadSpec!Z10))*1,".")</f>
        <v>3.2583425881855204E-4</v>
      </c>
      <c r="U10" s="43">
        <f>s_C*s_EF_iw*(1/365)*s_ED_ind*(s_ET_iw_o+s_ET_iw_i)*(1/24)*up_RadSpec!AA10*up_RadSpec!Q10*1</f>
        <v>8.0395923822251927E-2</v>
      </c>
      <c r="V10" s="43">
        <f>s_C*s_EF_iw*(1/365)*s_ED_ind*(s_ET_iw_o+s_ET_iw_i)*(1/24)*up_RadSpec!AB10*up_RadSpec!R10*1</f>
        <v>5.1593210244192993E-2</v>
      </c>
      <c r="W10" s="43">
        <f>s_C*s_EF_iw*(1/365)*s_ED_ind*(s_ET_iw_o+s_ET_iw_i)*(1/24)*up_RadSpec!AC10*up_RadSpec!S10*1</f>
        <v>7.2246158737467592E-2</v>
      </c>
      <c r="X10" s="43">
        <f>s_C*s_EF_iw*(1/365)*s_ED_ind*(s_ET_iw_o+s_ET_iw_i)*(1/24)*up_RadSpec!AD10*up_RadSpec!T10*1</f>
        <v>7.8990627253064188E-2</v>
      </c>
      <c r="Y10" s="43">
        <f>s_C*s_EF_iw*(1/365)*s_ED_ind*(s_ET_iw_o+s_ET_iw_i)*(1/24)*up_RadSpec!Z10*up_RadSpec!P10*1</f>
        <v>3.0690449912354738E-2</v>
      </c>
      <c r="Z10" s="11"/>
      <c r="AA10" s="11"/>
      <c r="AB10" s="11"/>
      <c r="AC10" s="11"/>
      <c r="AD10" s="11"/>
      <c r="AE10" s="22">
        <f>IFERROR(s_TR/(up_RadSpec!G10*s_EF_iw*s_ED_ind*(s_ET_iw_o+s_ET_iw_i)*(1/24)*s_IRA_iw),".")</f>
        <v>2.9090909090909094E-10</v>
      </c>
      <c r="AF10" s="22">
        <f>IFERROR(s_TR/(up_RadSpec!J10*s_EF_iw*(1/365)*s_ED_ind*(s_ET_iw_o+s_ET_iw_i)*(1/24)*s_GSF_a),".")</f>
        <v>6.3709090909090908E-6</v>
      </c>
      <c r="AG10" s="22">
        <f t="shared" si="6"/>
        <v>2.9089580799548386E-10</v>
      </c>
      <c r="AH10" s="43">
        <f t="shared" si="4"/>
        <v>34375</v>
      </c>
      <c r="AI10" s="43">
        <f t="shared" si="5"/>
        <v>1.5696347031963471</v>
      </c>
      <c r="AJ10" s="10"/>
      <c r="AK10" s="10"/>
      <c r="AL10" s="10"/>
    </row>
    <row r="11" spans="1:38" x14ac:dyDescent="0.25">
      <c r="A11" s="23" t="s">
        <v>21</v>
      </c>
      <c r="B11" s="24" t="s">
        <v>289</v>
      </c>
      <c r="C11" s="2"/>
      <c r="D11" s="22">
        <f>IFERROR((s_TR/(up_RadSpec!I11*s_EF_iw*s_ED_ind*s_IRS_iw*(1/1000)))*1,".")</f>
        <v>7.272727272727274E-8</v>
      </c>
      <c r="E11" s="22">
        <f>IFERROR(IF(A11="H-3",(s_TR/(up_RadSpec!G11*s_EF_iw*s_ED_ind*(s_ET_iw_o+s_ET_iw_i)*(1/24)*s_IRA_iw*(1/17)*1000))*1,(s_TR/(up_RadSpec!G11*s_EF_iw*s_ED_ind*(s_ET_iw_o+s_ET_iw_i)*(1/24)*s_IRA_iw*(1/s_PEF_wind)*1000))*1),".")</f>
        <v>9.0250320889537203E-5</v>
      </c>
      <c r="F11" s="22">
        <f>IFERROR((s_TR/(up_RadSpec!F11*s_EF_iw*(1/365)*s_ED_ind*up_RadSpec!Q11*(s_ET_iw_o+s_ET_iw_i)*(1/24)*up_RadSpec!AA11))*1,".")</f>
        <v>3.7192807192807195E-4</v>
      </c>
      <c r="G11" s="22">
        <f t="shared" si="0"/>
        <v>7.2654517893682949E-8</v>
      </c>
      <c r="H11" s="43">
        <f t="shared" si="1"/>
        <v>137.5</v>
      </c>
      <c r="I11" s="43">
        <f t="shared" si="2"/>
        <v>0.11080293013295324</v>
      </c>
      <c r="J11" s="43">
        <f>s_C*s_EF_iw*(1/365)*s_ED_ind*(s_ET_iw_o+s_ET_iw_i)*(1/24)*up_RadSpec!AA11*up_RadSpec!Q11*1</f>
        <v>2.6886919151222138E-2</v>
      </c>
      <c r="K11" s="4"/>
      <c r="L11" s="4"/>
      <c r="M11" s="4"/>
      <c r="N11" s="4"/>
      <c r="O11" s="4"/>
      <c r="P11" s="22">
        <f>IFERROR((s_TR/(up_RadSpec!F11*s_EF_iw*(1/365)*s_ED_ind*up_RadSpec!Q11*(s_ET_iw_o+s_ET_iw_i)*(1/24)*up_RadSpec!AA11))*1,".")</f>
        <v>3.7192807192807195E-4</v>
      </c>
      <c r="Q11" s="22">
        <f>IFERROR((s_TR/(up_RadSpec!M11*s_EF_iw*(1/365)*s_ED_ind*up_RadSpec!R11*(s_ET_iw_o+s_ET_iw_i)*(1/24)*up_RadSpec!AB11))*1,".")</f>
        <v>4.7061193653991448E-4</v>
      </c>
      <c r="R11" s="22">
        <f>IFERROR((s_TR/(up_RadSpec!N11*s_EF_iw*(1/365)*s_ED_ind*up_RadSpec!S11*(s_ET_iw_o+s_ET_iw_i)*(1/24)*up_RadSpec!AC11))*1,".")</f>
        <v>3.6523871811641593E-4</v>
      </c>
      <c r="S11" s="22">
        <f>IFERROR((s_TR/(up_RadSpec!O11*s_EF_iw*(1/365)*s_ED_ind*up_RadSpec!T11*(s_ET_iw_o+s_ET_iw_i)*(1/24)*up_RadSpec!AD11))*1,".")</f>
        <v>3.4790969899665567E-4</v>
      </c>
      <c r="T11" s="22">
        <f>IFERROR((s_TR/(up_RadSpec!K11*s_EF_iw*(1/365)*s_ED_ind*up_RadSpec!P11*(s_ET_iw_o+s_ET_iw_i)*(1/24)*up_RadSpec!Z11))*1,".")</f>
        <v>8.7610157699443412E-4</v>
      </c>
      <c r="U11" s="43">
        <f>s_C*s_EF_iw*(1/365)*s_ED_ind*(s_ET_iw_o+s_ET_iw_i)*(1/24)*up_RadSpec!AA11*up_RadSpec!Q11*1</f>
        <v>2.6886919151222138E-2</v>
      </c>
      <c r="V11" s="43">
        <f>s_C*s_EF_iw*(1/365)*s_ED_ind*(s_ET_iw_o+s_ET_iw_i)*(1/24)*up_RadSpec!AB11*up_RadSpec!R11*1</f>
        <v>2.124892979452055E-2</v>
      </c>
      <c r="W11" s="43">
        <f>s_C*s_EF_iw*(1/365)*s_ED_ind*(s_ET_iw_o+s_ET_iw_i)*(1/24)*up_RadSpec!AC11*up_RadSpec!S11*1</f>
        <v>2.7379353567911192E-2</v>
      </c>
      <c r="X11" s="43">
        <f>s_C*s_EF_iw*(1/365)*s_ED_ind*(s_ET_iw_o+s_ET_iw_i)*(1/24)*up_RadSpec!AD11*up_RadSpec!T11*1</f>
        <v>2.8743090603220375E-2</v>
      </c>
      <c r="Y11" s="43">
        <f>s_C*s_EF_iw*(1/365)*s_ED_ind*(s_ET_iw_o+s_ET_iw_i)*(1/24)*up_RadSpec!Z11*up_RadSpec!P11*1</f>
        <v>1.1414201575011581E-2</v>
      </c>
      <c r="Z11" s="11"/>
      <c r="AA11" s="11"/>
      <c r="AB11" s="11"/>
      <c r="AC11" s="11"/>
      <c r="AD11" s="11"/>
      <c r="AE11" s="22">
        <f>IFERROR(s_TR/(up_RadSpec!G11*s_EF_iw*s_ED_ind*(s_ET_iw_o+s_ET_iw_i)*(1/24)*s_IRA_iw),".")</f>
        <v>2.9090909090909094E-10</v>
      </c>
      <c r="AF11" s="22">
        <f>IFERROR(s_TR/(up_RadSpec!J11*s_EF_iw*(1/365)*s_ED_ind*(s_ET_iw_o+s_ET_iw_i)*(1/24)*s_GSF_a),".")</f>
        <v>6.3709090909090908E-6</v>
      </c>
      <c r="AG11" s="22">
        <f t="shared" si="6"/>
        <v>2.9089580799548386E-10</v>
      </c>
      <c r="AH11" s="43">
        <f t="shared" si="4"/>
        <v>34375</v>
      </c>
      <c r="AI11" s="43">
        <f t="shared" si="5"/>
        <v>1.5696347031963471</v>
      </c>
      <c r="AJ11" s="10"/>
      <c r="AK11" s="10"/>
      <c r="AL11" s="10"/>
    </row>
    <row r="12" spans="1:38" x14ac:dyDescent="0.25">
      <c r="A12" s="23" t="s">
        <v>22</v>
      </c>
      <c r="B12" s="24" t="s">
        <v>289</v>
      </c>
      <c r="C12" s="109"/>
      <c r="D12" s="22">
        <f>IFERROR((s_TR/(up_RadSpec!I12*s_EF_iw*s_ED_ind*s_IRS_iw*(1/1000)))*1,".")</f>
        <v>7.272727272727274E-8</v>
      </c>
      <c r="E12" s="22">
        <f>IFERROR(IF(A12="H-3",(s_TR/(up_RadSpec!G12*s_EF_iw*s_ED_ind*(s_ET_iw_o+s_ET_iw_i)*(1/24)*s_IRA_iw*(1/17)*1000))*1,(s_TR/(up_RadSpec!G12*s_EF_iw*s_ED_ind*(s_ET_iw_o+s_ET_iw_i)*(1/24)*s_IRA_iw*(1/s_PEF_wind)*1000))*1),".")</f>
        <v>9.0250320889537203E-5</v>
      </c>
      <c r="F12" s="22">
        <f>IFERROR((s_TR/(up_RadSpec!F12*s_EF_iw*(1/365)*s_ED_ind*up_RadSpec!Q12*(s_ET_iw_o+s_ET_iw_i)*(1/24)*up_RadSpec!AA12))*1,".")</f>
        <v>1.7820514579759865E-4</v>
      </c>
      <c r="G12" s="22">
        <f t="shared" si="0"/>
        <v>7.2639092549734622E-8</v>
      </c>
      <c r="H12" s="43">
        <f t="shared" si="1"/>
        <v>137.5</v>
      </c>
      <c r="I12" s="43">
        <f t="shared" si="2"/>
        <v>0.11080293013295324</v>
      </c>
      <c r="J12" s="43">
        <f>s_C*s_EF_iw*(1/365)*s_ED_ind*(s_ET_iw_o+s_ET_iw_i)*(1/24)*up_RadSpec!AA12*up_RadSpec!Q12*1</f>
        <v>5.6115102373967218E-2</v>
      </c>
      <c r="K12" s="4"/>
      <c r="L12" s="4"/>
      <c r="M12" s="4"/>
      <c r="N12" s="4"/>
      <c r="O12" s="4"/>
      <c r="P12" s="22">
        <f>IFERROR((s_TR/(up_RadSpec!F12*s_EF_iw*(1/365)*s_ED_ind*up_RadSpec!Q12*(s_ET_iw_o+s_ET_iw_i)*(1/24)*up_RadSpec!AA12))*1,".")</f>
        <v>1.7820514579759865E-4</v>
      </c>
      <c r="Q12" s="22">
        <f>IFERROR((s_TR/(up_RadSpec!M12*s_EF_iw*(1/365)*s_ED_ind*up_RadSpec!R12*(s_ET_iw_o+s_ET_iw_i)*(1/24)*up_RadSpec!AB12))*1,".")</f>
        <v>3.1971146105046227E-4</v>
      </c>
      <c r="R12" s="22">
        <f>IFERROR((s_TR/(up_RadSpec!N12*s_EF_iw*(1/365)*s_ED_ind*up_RadSpec!S12*(s_ET_iw_o+s_ET_iw_i)*(1/24)*up_RadSpec!AC12))*1,".")</f>
        <v>2.3181882726541213E-4</v>
      </c>
      <c r="S12" s="22">
        <f>IFERROR((s_TR/(up_RadSpec!O12*s_EF_iw*(1/365)*s_ED_ind*up_RadSpec!T12*(s_ET_iw_o+s_ET_iw_i)*(1/24)*up_RadSpec!AD12))*1,".")</f>
        <v>2.0472835659124774E-4</v>
      </c>
      <c r="T12" s="22">
        <f>IFERROR((s_TR/(up_RadSpec!K12*s_EF_iw*(1/365)*s_ED_ind*up_RadSpec!P12*(s_ET_iw_o+s_ET_iw_i)*(1/24)*up_RadSpec!Z12))*1,".")</f>
        <v>5.5190166975881269E-4</v>
      </c>
      <c r="U12" s="43">
        <f>s_C*s_EF_iw*(1/365)*s_ED_ind*(s_ET_iw_o+s_ET_iw_i)*(1/24)*up_RadSpec!AA12*up_RadSpec!Q12*1</f>
        <v>5.6115102373967218E-2</v>
      </c>
      <c r="V12" s="43">
        <f>s_C*s_EF_iw*(1/365)*s_ED_ind*(s_ET_iw_o+s_ET_iw_i)*(1/24)*up_RadSpec!AB12*up_RadSpec!R12*1</f>
        <v>3.1278203062046733E-2</v>
      </c>
      <c r="W12" s="43">
        <f>s_C*s_EF_iw*(1/365)*s_ED_ind*(s_ET_iw_o+s_ET_iw_i)*(1/24)*up_RadSpec!AC12*up_RadSpec!S12*1</f>
        <v>4.3137134796005519E-2</v>
      </c>
      <c r="X12" s="43">
        <f>s_C*s_EF_iw*(1/365)*s_ED_ind*(s_ET_iw_o+s_ET_iw_i)*(1/24)*up_RadSpec!AD12*up_RadSpec!T12*1</f>
        <v>4.8845212097147796E-2</v>
      </c>
      <c r="Y12" s="43">
        <f>s_C*s_EF_iw*(1/365)*s_ED_ind*(s_ET_iw_o+s_ET_iw_i)*(1/24)*up_RadSpec!Z12*up_RadSpec!P12*1</f>
        <v>1.8119169678124214E-2</v>
      </c>
      <c r="Z12" s="11"/>
      <c r="AA12" s="11"/>
      <c r="AB12" s="11"/>
      <c r="AC12" s="11"/>
      <c r="AD12" s="11"/>
      <c r="AE12" s="22">
        <f>IFERROR(s_TR/(up_RadSpec!G12*s_EF_iw*s_ED_ind*(s_ET_iw_o+s_ET_iw_i)*(1/24)*s_IRA_iw),".")</f>
        <v>2.9090909090909094E-10</v>
      </c>
      <c r="AF12" s="22">
        <f>IFERROR(s_TR/(up_RadSpec!J12*s_EF_iw*(1/365)*s_ED_ind*(s_ET_iw_o+s_ET_iw_i)*(1/24)*s_GSF_a),".")</f>
        <v>6.3709090909090908E-6</v>
      </c>
      <c r="AG12" s="22">
        <f t="shared" si="6"/>
        <v>2.9089580799548386E-10</v>
      </c>
      <c r="AH12" s="43">
        <f t="shared" si="4"/>
        <v>34375</v>
      </c>
      <c r="AI12" s="43">
        <f t="shared" si="5"/>
        <v>1.5696347031963471</v>
      </c>
      <c r="AJ12" s="10"/>
      <c r="AK12" s="10"/>
      <c r="AL12" s="10"/>
    </row>
    <row r="13" spans="1:38" x14ac:dyDescent="0.25">
      <c r="A13" s="23" t="s">
        <v>23</v>
      </c>
      <c r="B13" s="24" t="s">
        <v>289</v>
      </c>
      <c r="C13" s="2"/>
      <c r="D13" s="22">
        <f>IFERROR((s_TR/(up_RadSpec!I13*s_EF_iw*s_ED_ind*s_IRS_iw*(1/1000)))*1,".")</f>
        <v>7.272727272727274E-8</v>
      </c>
      <c r="E13" s="22">
        <f>IFERROR(IF(A13="H-3",(s_TR/(up_RadSpec!G13*s_EF_iw*s_ED_ind*(s_ET_iw_o+s_ET_iw_i)*(1/24)*s_IRA_iw*(1/17)*1000))*1,(s_TR/(up_RadSpec!G13*s_EF_iw*s_ED_ind*(s_ET_iw_o+s_ET_iw_i)*(1/24)*s_IRA_iw*(1/s_PEF_wind)*1000))*1),".")</f>
        <v>9.0250320889537203E-5</v>
      </c>
      <c r="F13" s="22">
        <f>IFERROR((s_TR/(up_RadSpec!F13*s_EF_iw*(1/365)*s_ED_ind*up_RadSpec!Q13*(s_ET_iw_o+s_ET_iw_i)*(1/24)*up_RadSpec!AA13))*1,".")</f>
        <v>1.3697654511213842E-3</v>
      </c>
      <c r="G13" s="22">
        <f t="shared" si="0"/>
        <v>7.2664858396536195E-8</v>
      </c>
      <c r="H13" s="43">
        <f t="shared" si="1"/>
        <v>137.5</v>
      </c>
      <c r="I13" s="43">
        <f t="shared" si="2"/>
        <v>0.11080293013295324</v>
      </c>
      <c r="J13" s="43">
        <f>s_C*s_EF_iw*(1/365)*s_ED_ind*(s_ET_iw_o+s_ET_iw_i)*(1/24)*up_RadSpec!AA13*up_RadSpec!Q13*1</f>
        <v>7.3005199480051953E-3</v>
      </c>
      <c r="K13" s="4"/>
      <c r="L13" s="4"/>
      <c r="M13" s="4"/>
      <c r="N13" s="4"/>
      <c r="O13" s="4"/>
      <c r="P13" s="22">
        <f>IFERROR((s_TR/(up_RadSpec!F13*s_EF_iw*(1/365)*s_ED_ind*up_RadSpec!Q13*(s_ET_iw_o+s_ET_iw_i)*(1/24)*up_RadSpec!AA13))*1,".")</f>
        <v>1.3697654511213842E-3</v>
      </c>
      <c r="Q13" s="22">
        <f>IFERROR((s_TR/(up_RadSpec!M13*s_EF_iw*(1/365)*s_ED_ind*up_RadSpec!R13*(s_ET_iw_o+s_ET_iw_i)*(1/24)*up_RadSpec!AB13))*1,".")</f>
        <v>2.9871580933033453E-3</v>
      </c>
      <c r="R13" s="22">
        <f>IFERROR((s_TR/(up_RadSpec!N13*s_EF_iw*(1/365)*s_ED_ind*up_RadSpec!S13*(s_ET_iw_o+s_ET_iw_i)*(1/24)*up_RadSpec!AC13))*1,".")</f>
        <v>1.7746494798733601E-3</v>
      </c>
      <c r="S13" s="22">
        <f>IFERROR((s_TR/(up_RadSpec!O13*s_EF_iw*(1/365)*s_ED_ind*up_RadSpec!T13*(s_ET_iw_o+s_ET_iw_i)*(1/24)*up_RadSpec!AD13))*1,".")</f>
        <v>1.4650070542124524E-3</v>
      </c>
      <c r="T13" s="22">
        <f>IFERROR((s_TR/(up_RadSpec!K13*s_EF_iw*(1/365)*s_ED_ind*up_RadSpec!P13*(s_ET_iw_o+s_ET_iw_i)*(1/24)*up_RadSpec!Z13))*1,".")</f>
        <v>2.8737824675324666E-2</v>
      </c>
      <c r="U13" s="43">
        <f>s_C*s_EF_iw*(1/365)*s_ED_ind*(s_ET_iw_o+s_ET_iw_i)*(1/24)*up_RadSpec!AA13*up_RadSpec!Q13*1</f>
        <v>7.3005199480051953E-3</v>
      </c>
      <c r="V13" s="43">
        <f>s_C*s_EF_iw*(1/365)*s_ED_ind*(s_ET_iw_o+s_ET_iw_i)*(1/24)*up_RadSpec!AB13*up_RadSpec!R13*1</f>
        <v>3.3476634606042946E-3</v>
      </c>
      <c r="W13" s="43">
        <f>s_C*s_EF_iw*(1/365)*s_ED_ind*(s_ET_iw_o+s_ET_iw_i)*(1/24)*up_RadSpec!AC13*up_RadSpec!S13*1</f>
        <v>5.6349155782096233E-3</v>
      </c>
      <c r="X13" s="43">
        <f>s_C*s_EF_iw*(1/365)*s_ED_ind*(s_ET_iw_o+s_ET_iw_i)*(1/24)*up_RadSpec!AD13*up_RadSpec!T13*1</f>
        <v>6.8259056987105982E-3</v>
      </c>
      <c r="Y13" s="43">
        <f>s_C*s_EF_iw*(1/365)*s_ED_ind*(s_ET_iw_o+s_ET_iw_i)*(1/24)*up_RadSpec!Z13*up_RadSpec!P13*1</f>
        <v>3.4797345007767284E-4</v>
      </c>
      <c r="Z13" s="11"/>
      <c r="AA13" s="11"/>
      <c r="AB13" s="11"/>
      <c r="AC13" s="11"/>
      <c r="AD13" s="11"/>
      <c r="AE13" s="22">
        <f>IFERROR(s_TR/(up_RadSpec!G13*s_EF_iw*s_ED_ind*(s_ET_iw_o+s_ET_iw_i)*(1/24)*s_IRA_iw),".")</f>
        <v>2.9090909090909094E-10</v>
      </c>
      <c r="AF13" s="22">
        <f>IFERROR(s_TR/(up_RadSpec!J13*s_EF_iw*(1/365)*s_ED_ind*(s_ET_iw_o+s_ET_iw_i)*(1/24)*s_GSF_a),".")</f>
        <v>6.3709090909090908E-6</v>
      </c>
      <c r="AG13" s="22">
        <f t="shared" si="6"/>
        <v>2.9089580799548386E-10</v>
      </c>
      <c r="AH13" s="43">
        <f t="shared" si="4"/>
        <v>34375</v>
      </c>
      <c r="AI13" s="43">
        <f t="shared" si="5"/>
        <v>1.5696347031963471</v>
      </c>
      <c r="AJ13" s="10"/>
      <c r="AK13" s="10"/>
      <c r="AL13" s="10"/>
    </row>
    <row r="14" spans="1:38" x14ac:dyDescent="0.25">
      <c r="A14" s="23" t="s">
        <v>24</v>
      </c>
      <c r="B14" s="24" t="s">
        <v>289</v>
      </c>
      <c r="C14" s="2"/>
      <c r="D14" s="22">
        <f>IFERROR((s_TR/(up_RadSpec!I14*s_EF_iw*s_ED_ind*s_IRS_iw*(1/1000)))*1,".")</f>
        <v>7.272727272727274E-8</v>
      </c>
      <c r="E14" s="22">
        <f>IFERROR(IF(A14="H-3",(s_TR/(up_RadSpec!G14*s_EF_iw*s_ED_ind*(s_ET_iw_o+s_ET_iw_i)*(1/24)*s_IRA_iw*(1/17)*1000))*1,(s_TR/(up_RadSpec!G14*s_EF_iw*s_ED_ind*(s_ET_iw_o+s_ET_iw_i)*(1/24)*s_IRA_iw*(1/s_PEF_wind)*1000))*1),".")</f>
        <v>9.0250320889537203E-5</v>
      </c>
      <c r="F14" s="22">
        <f>IFERROR((s_TR/(up_RadSpec!F14*s_EF_iw*(1/365)*s_ED_ind*up_RadSpec!Q14*(s_ET_iw_o+s_ET_iw_i)*(1/24)*up_RadSpec!AA14))*1,".")</f>
        <v>2.0562544858686665E-4</v>
      </c>
      <c r="G14" s="22">
        <f t="shared" si="0"/>
        <v>7.2643041117267662E-8</v>
      </c>
      <c r="H14" s="43">
        <f t="shared" si="1"/>
        <v>137.5</v>
      </c>
      <c r="I14" s="43">
        <f t="shared" si="2"/>
        <v>0.11080293013295324</v>
      </c>
      <c r="J14" s="43">
        <f>s_C*s_EF_iw*(1/365)*s_ED_ind*(s_ET_iw_o+s_ET_iw_i)*(1/24)*up_RadSpec!AA14*up_RadSpec!Q14*1</f>
        <v>4.8632112750263468E-2</v>
      </c>
      <c r="K14" s="4"/>
      <c r="L14" s="4"/>
      <c r="M14" s="4"/>
      <c r="N14" s="4"/>
      <c r="O14" s="4"/>
      <c r="P14" s="22">
        <f>IFERROR((s_TR/(up_RadSpec!F14*s_EF_iw*(1/365)*s_ED_ind*up_RadSpec!Q14*(s_ET_iw_o+s_ET_iw_i)*(1/24)*up_RadSpec!AA14))*1,".")</f>
        <v>2.0562544858686665E-4</v>
      </c>
      <c r="Q14" s="22">
        <f>IFERROR((s_TR/(up_RadSpec!M14*s_EF_iw*(1/365)*s_ED_ind*up_RadSpec!R14*(s_ET_iw_o+s_ET_iw_i)*(1/24)*up_RadSpec!AB14))*1,".")</f>
        <v>3.7343707965151196E-4</v>
      </c>
      <c r="R14" s="22">
        <f>IFERROR((s_TR/(up_RadSpec!N14*s_EF_iw*(1/365)*s_ED_ind*up_RadSpec!S14*(s_ET_iw_o+s_ET_iw_i)*(1/24)*up_RadSpec!AC14))*1,".")</f>
        <v>2.7609833639378426E-4</v>
      </c>
      <c r="S14" s="22">
        <f>IFERROR((s_TR/(up_RadSpec!O14*s_EF_iw*(1/365)*s_ED_ind*up_RadSpec!T14*(s_ET_iw_o+s_ET_iw_i)*(1/24)*up_RadSpec!AD14))*1,".")</f>
        <v>2.419440369080657E-4</v>
      </c>
      <c r="T14" s="22">
        <f>IFERROR((s_TR/(up_RadSpec!K14*s_EF_iw*(1/365)*s_ED_ind*up_RadSpec!P14*(s_ET_iw_o+s_ET_iw_i)*(1/24)*up_RadSpec!Z14))*1,".")</f>
        <v>1.0419900221729495E-3</v>
      </c>
      <c r="U14" s="43">
        <f>s_C*s_EF_iw*(1/365)*s_ED_ind*(s_ET_iw_o+s_ET_iw_i)*(1/24)*up_RadSpec!AA14*up_RadSpec!Q14*1</f>
        <v>4.8632112750263468E-2</v>
      </c>
      <c r="V14" s="43">
        <f>s_C*s_EF_iw*(1/365)*s_ED_ind*(s_ET_iw_o+s_ET_iw_i)*(1/24)*up_RadSpec!AB14*up_RadSpec!R14*1</f>
        <v>2.677827281996718E-2</v>
      </c>
      <c r="W14" s="43">
        <f>s_C*s_EF_iw*(1/365)*s_ED_ind*(s_ET_iw_o+s_ET_iw_i)*(1/24)*up_RadSpec!AC14*up_RadSpec!S14*1</f>
        <v>3.6218979551320217E-2</v>
      </c>
      <c r="X14" s="43">
        <f>s_C*s_EF_iw*(1/365)*s_ED_ind*(s_ET_iw_o+s_ET_iw_i)*(1/24)*up_RadSpec!AD14*up_RadSpec!T14*1</f>
        <v>4.1331872146118727E-2</v>
      </c>
      <c r="Y14" s="43">
        <f>s_C*s_EF_iw*(1/365)*s_ED_ind*(s_ET_iw_o+s_ET_iw_i)*(1/24)*up_RadSpec!Z14*up_RadSpec!P14*1</f>
        <v>9.5970208804362252E-3</v>
      </c>
      <c r="Z14" s="11"/>
      <c r="AA14" s="11"/>
      <c r="AB14" s="11"/>
      <c r="AC14" s="11"/>
      <c r="AD14" s="11"/>
      <c r="AE14" s="22">
        <f>IFERROR(s_TR/(up_RadSpec!G14*s_EF_iw*s_ED_ind*(s_ET_iw_o+s_ET_iw_i)*(1/24)*s_IRA_iw),".")</f>
        <v>2.9090909090909094E-10</v>
      </c>
      <c r="AF14" s="22">
        <f>IFERROR(s_TR/(up_RadSpec!J14*s_EF_iw*(1/365)*s_ED_ind*(s_ET_iw_o+s_ET_iw_i)*(1/24)*s_GSF_a),".")</f>
        <v>6.3709090909090908E-6</v>
      </c>
      <c r="AG14" s="22">
        <f t="shared" si="6"/>
        <v>2.9089580799548386E-10</v>
      </c>
      <c r="AH14" s="43">
        <f t="shared" si="4"/>
        <v>34375</v>
      </c>
      <c r="AI14" s="43">
        <f t="shared" si="5"/>
        <v>1.5696347031963471</v>
      </c>
      <c r="AJ14" s="10"/>
      <c r="AK14" s="10"/>
      <c r="AL14" s="10"/>
    </row>
    <row r="15" spans="1:38" x14ac:dyDescent="0.25">
      <c r="A15" s="23" t="s">
        <v>25</v>
      </c>
      <c r="B15" s="24" t="s">
        <v>289</v>
      </c>
      <c r="C15" s="2"/>
      <c r="D15" s="22">
        <f>IFERROR((s_TR/(up_RadSpec!I15*s_EF_iw*s_ED_ind*s_IRS_iw*(1/1000)))*1,".")</f>
        <v>7.272727272727274E-8</v>
      </c>
      <c r="E15" s="22">
        <f>IFERROR(IF(A15="H-3",(s_TR/(up_RadSpec!G15*s_EF_iw*s_ED_ind*(s_ET_iw_o+s_ET_iw_i)*(1/24)*s_IRA_iw*(1/17)*1000))*1,(s_TR/(up_RadSpec!G15*s_EF_iw*s_ED_ind*(s_ET_iw_o+s_ET_iw_i)*(1/24)*s_IRA_iw*(1/s_PEF_wind)*1000))*1),".")</f>
        <v>9.0250320889537203E-5</v>
      </c>
      <c r="F15" s="22" t="str">
        <f>IFERROR((s_TR/(up_RadSpec!F15*s_EF_iw*(1/365)*s_ED_ind*up_RadSpec!Q15*(s_ET_iw_o+s_ET_iw_i)*(1/24)*up_RadSpec!AA15))*1,".")</f>
        <v>.</v>
      </c>
      <c r="G15" s="22">
        <f t="shared" si="0"/>
        <v>7.26687134081846E-8</v>
      </c>
      <c r="H15" s="43">
        <f t="shared" si="1"/>
        <v>137.5</v>
      </c>
      <c r="I15" s="43">
        <f t="shared" si="2"/>
        <v>0.11080293013295324</v>
      </c>
      <c r="J15" s="43">
        <f>s_C*s_EF_iw*(1/365)*s_ED_ind*(s_ET_iw_o+s_ET_iw_i)*(1/24)*up_RadSpec!AA15*up_RadSpec!Q15*1</f>
        <v>0</v>
      </c>
      <c r="K15" s="4"/>
      <c r="L15" s="4"/>
      <c r="M15" s="4"/>
      <c r="N15" s="4"/>
      <c r="O15" s="4"/>
      <c r="P15" s="22" t="str">
        <f>IFERROR((s_TR/(up_RadSpec!F15*s_EF_iw*(1/365)*s_ED_ind*up_RadSpec!Q15*(s_ET_iw_o+s_ET_iw_i)*(1/24)*up_RadSpec!AA15))*1,".")</f>
        <v>.</v>
      </c>
      <c r="Q15" s="22" t="str">
        <f>IFERROR((s_TR/(up_RadSpec!M15*s_EF_iw*(1/365)*s_ED_ind*up_RadSpec!R15*(s_ET_iw_o+s_ET_iw_i)*(1/24)*up_RadSpec!AB15))*1,".")</f>
        <v>.</v>
      </c>
      <c r="R15" s="22" t="str">
        <f>IFERROR((s_TR/(up_RadSpec!N15*s_EF_iw*(1/365)*s_ED_ind*up_RadSpec!S15*(s_ET_iw_o+s_ET_iw_i)*(1/24)*up_RadSpec!AC15))*1,".")</f>
        <v>.</v>
      </c>
      <c r="S15" s="22" t="str">
        <f>IFERROR((s_TR/(up_RadSpec!O15*s_EF_iw*(1/365)*s_ED_ind*up_RadSpec!T15*(s_ET_iw_o+s_ET_iw_i)*(1/24)*up_RadSpec!AD15))*1,".")</f>
        <v>.</v>
      </c>
      <c r="T15" s="22" t="str">
        <f>IFERROR((s_TR/(up_RadSpec!K15*s_EF_iw*(1/365)*s_ED_ind*up_RadSpec!P15*(s_ET_iw_o+s_ET_iw_i)*(1/24)*up_RadSpec!Z15))*1,".")</f>
        <v>.</v>
      </c>
      <c r="U15" s="43">
        <f>s_C*s_EF_iw*(1/365)*s_ED_ind*(s_ET_iw_o+s_ET_iw_i)*(1/24)*up_RadSpec!AA15*up_RadSpec!Q15*1</f>
        <v>0</v>
      </c>
      <c r="V15" s="43">
        <f>s_C*s_EF_iw*(1/365)*s_ED_ind*(s_ET_iw_o+s_ET_iw_i)*(1/24)*up_RadSpec!AB15*up_RadSpec!R15*1</f>
        <v>0</v>
      </c>
      <c r="W15" s="43">
        <f>s_C*s_EF_iw*(1/365)*s_ED_ind*(s_ET_iw_o+s_ET_iw_i)*(1/24)*up_RadSpec!AC15*up_RadSpec!S15*1</f>
        <v>0</v>
      </c>
      <c r="X15" s="43">
        <f>s_C*s_EF_iw*(1/365)*s_ED_ind*(s_ET_iw_o+s_ET_iw_i)*(1/24)*up_RadSpec!AD15*up_RadSpec!T15*1</f>
        <v>0</v>
      </c>
      <c r="Y15" s="43">
        <f>s_C*s_EF_iw*(1/365)*s_ED_ind*(s_ET_iw_o+s_ET_iw_i)*(1/24)*up_RadSpec!Z15*up_RadSpec!P15*1</f>
        <v>0</v>
      </c>
      <c r="Z15" s="11"/>
      <c r="AA15" s="11"/>
      <c r="AB15" s="11"/>
      <c r="AC15" s="11"/>
      <c r="AD15" s="11"/>
      <c r="AE15" s="22">
        <f>IFERROR(s_TR/(up_RadSpec!G15*s_EF_iw*s_ED_ind*(s_ET_iw_o+s_ET_iw_i)*(1/24)*s_IRA_iw),".")</f>
        <v>2.9090909090909094E-10</v>
      </c>
      <c r="AF15" s="22">
        <f>IFERROR(s_TR/(up_RadSpec!J15*s_EF_iw*(1/365)*s_ED_ind*(s_ET_iw_o+s_ET_iw_i)*(1/24)*s_GSF_a),".")</f>
        <v>6.3709090909090908E-6</v>
      </c>
      <c r="AG15" s="22">
        <f t="shared" si="6"/>
        <v>2.9089580799548386E-10</v>
      </c>
      <c r="AH15" s="43">
        <f t="shared" si="4"/>
        <v>34375</v>
      </c>
      <c r="AI15" s="43">
        <f t="shared" si="5"/>
        <v>1.5696347031963471</v>
      </c>
      <c r="AJ15" s="10"/>
      <c r="AK15" s="10"/>
      <c r="AL15" s="10"/>
    </row>
    <row r="16" spans="1:38" x14ac:dyDescent="0.25">
      <c r="A16" s="23" t="s">
        <v>26</v>
      </c>
      <c r="B16" s="24" t="s">
        <v>289</v>
      </c>
      <c r="C16" s="109"/>
      <c r="D16" s="22">
        <f>IFERROR((s_TR/(up_RadSpec!I16*s_EF_iw*s_ED_ind*s_IRS_iw*(1/1000)))*1,".")</f>
        <v>7.272727272727274E-8</v>
      </c>
      <c r="E16" s="22">
        <f>IFERROR(IF(A16="H-3",(s_TR/(up_RadSpec!G16*s_EF_iw*s_ED_ind*(s_ET_iw_o+s_ET_iw_i)*(1/24)*s_IRA_iw*(1/17)*1000))*1,(s_TR/(up_RadSpec!G16*s_EF_iw*s_ED_ind*(s_ET_iw_o+s_ET_iw_i)*(1/24)*s_IRA_iw*(1/s_PEF_wind)*1000))*1),".")</f>
        <v>9.0250320889537203E-5</v>
      </c>
      <c r="F16" s="22">
        <f>IFERROR((s_TR/(up_RadSpec!F16*s_EF_iw*(1/365)*s_ED_ind*up_RadSpec!Q16*(s_ET_iw_o+s_ET_iw_i)*(1/24)*up_RadSpec!AA16))*1,".")</f>
        <v>1.9123655075627644</v>
      </c>
      <c r="G16" s="22">
        <f t="shared" si="0"/>
        <v>7.2668710646818281E-8</v>
      </c>
      <c r="H16" s="43">
        <f t="shared" si="1"/>
        <v>137.5</v>
      </c>
      <c r="I16" s="43">
        <f t="shared" si="2"/>
        <v>0.11080293013295324</v>
      </c>
      <c r="J16" s="43">
        <f>s_C*s_EF_iw*(1/365)*s_ED_ind*(s_ET_iw_o+s_ET_iw_i)*(1/24)*up_RadSpec!AA16*up_RadSpec!Q16*1</f>
        <v>5.2291258969341142E-6</v>
      </c>
      <c r="K16" s="4"/>
      <c r="L16" s="4"/>
      <c r="M16" s="4"/>
      <c r="N16" s="4"/>
      <c r="O16" s="4"/>
      <c r="P16" s="22">
        <f>IFERROR((s_TR/(up_RadSpec!F16*s_EF_iw*(1/365)*s_ED_ind*up_RadSpec!Q16*(s_ET_iw_o+s_ET_iw_i)*(1/24)*up_RadSpec!AA16))*1,".")</f>
        <v>1.9123655075627644</v>
      </c>
      <c r="Q16" s="22">
        <f>IFERROR((s_TR/(up_RadSpec!M16*s_EF_iw*(1/365)*s_ED_ind*up_RadSpec!R16*(s_ET_iw_o+s_ET_iw_i)*(1/24)*up_RadSpec!AB16))*1,".")</f>
        <v>3.4058573540280874</v>
      </c>
      <c r="R16" s="22">
        <f>IFERROR((s_TR/(up_RadSpec!N16*s_EF_iw*(1/365)*s_ED_ind*up_RadSpec!S16*(s_ET_iw_o+s_ET_iw_i)*(1/24)*up_RadSpec!AC16))*1,".")</f>
        <v>2.0460345140494445</v>
      </c>
      <c r="S16" s="22">
        <f>IFERROR((s_TR/(up_RadSpec!O16*s_EF_iw*(1/365)*s_ED_ind*up_RadSpec!T16*(s_ET_iw_o+s_ET_iw_i)*(1/24)*up_RadSpec!AD16))*1,".")</f>
        <v>2.0566062345115443</v>
      </c>
      <c r="T16" s="22">
        <f>IFERROR((s_TR/(up_RadSpec!K16*s_EF_iw*(1/365)*s_ED_ind*up_RadSpec!P16*(s_ET_iw_o+s_ET_iw_i)*(1/24)*up_RadSpec!Z16))*1,".")</f>
        <v>79.63636363636364</v>
      </c>
      <c r="U16" s="43">
        <f>s_C*s_EF_iw*(1/365)*s_ED_ind*(s_ET_iw_o+s_ET_iw_i)*(1/24)*up_RadSpec!AA16*up_RadSpec!Q16*1</f>
        <v>5.2291258969341142E-6</v>
      </c>
      <c r="V16" s="43">
        <f>s_C*s_EF_iw*(1/365)*s_ED_ind*(s_ET_iw_o+s_ET_iw_i)*(1/24)*up_RadSpec!AB16*up_RadSpec!R16*1</f>
        <v>2.9361182693611819E-6</v>
      </c>
      <c r="W16" s="43">
        <f>s_C*s_EF_iw*(1/365)*s_ED_ind*(s_ET_iw_o+s_ET_iw_i)*(1/24)*up_RadSpec!AC16*up_RadSpec!S16*1</f>
        <v>4.8875030852770563E-6</v>
      </c>
      <c r="X16" s="43">
        <f>s_C*s_EF_iw*(1/365)*s_ED_ind*(s_ET_iw_o+s_ET_iw_i)*(1/24)*up_RadSpec!AD16*up_RadSpec!T16*1</f>
        <v>4.8623795027904594E-6</v>
      </c>
      <c r="Y16" s="43">
        <f>s_C*s_EF_iw*(1/365)*s_ED_ind*(s_ET_iw_o+s_ET_iw_i)*(1/24)*up_RadSpec!Z16*up_RadSpec!P16*1</f>
        <v>1.2557077625570777E-7</v>
      </c>
      <c r="Z16" s="11"/>
      <c r="AA16" s="11"/>
      <c r="AB16" s="11"/>
      <c r="AC16" s="11"/>
      <c r="AD16" s="11"/>
      <c r="AE16" s="22">
        <f>IFERROR(s_TR/(up_RadSpec!G16*s_EF_iw*s_ED_ind*(s_ET_iw_o+s_ET_iw_i)*(1/24)*s_IRA_iw),".")</f>
        <v>2.9090909090909094E-10</v>
      </c>
      <c r="AF16" s="22">
        <f>IFERROR(s_TR/(up_RadSpec!J16*s_EF_iw*(1/365)*s_ED_ind*(s_ET_iw_o+s_ET_iw_i)*(1/24)*s_GSF_a),".")</f>
        <v>6.3709090909090908E-6</v>
      </c>
      <c r="AG16" s="22">
        <f t="shared" si="6"/>
        <v>2.9089580799548386E-10</v>
      </c>
      <c r="AH16" s="43">
        <f t="shared" si="4"/>
        <v>34375</v>
      </c>
      <c r="AI16" s="43">
        <f t="shared" si="5"/>
        <v>1.5696347031963471</v>
      </c>
      <c r="AJ16" s="10"/>
      <c r="AK16" s="10"/>
      <c r="AL16" s="10"/>
    </row>
    <row r="17" spans="1:38" x14ac:dyDescent="0.25">
      <c r="A17" s="23" t="s">
        <v>27</v>
      </c>
      <c r="B17" s="24" t="s">
        <v>289</v>
      </c>
      <c r="C17" s="109"/>
      <c r="D17" s="22">
        <f>IFERROR((s_TR/(up_RadSpec!I17*s_EF_iw*s_ED_ind*s_IRS_iw*(1/1000)))*1,".")</f>
        <v>7.272727272727274E-8</v>
      </c>
      <c r="E17" s="22">
        <f>IFERROR(IF(A17="H-3",(s_TR/(up_RadSpec!G17*s_EF_iw*s_ED_ind*(s_ET_iw_o+s_ET_iw_i)*(1/24)*s_IRA_iw*(1/17)*1000))*1,(s_TR/(up_RadSpec!G17*s_EF_iw*s_ED_ind*(s_ET_iw_o+s_ET_iw_i)*(1/24)*s_IRA_iw*(1/s_PEF_wind)*1000))*1),".")</f>
        <v>9.0250320889537203E-5</v>
      </c>
      <c r="F17" s="22">
        <f>IFERROR((s_TR/(up_RadSpec!F17*s_EF_iw*(1/365)*s_ED_ind*up_RadSpec!Q17*(s_ET_iw_o+s_ET_iw_i)*(1/24)*up_RadSpec!AA17))*1,".")</f>
        <v>1.7582054309327029E-4</v>
      </c>
      <c r="G17" s="22">
        <f t="shared" si="0"/>
        <v>7.2638690976652645E-8</v>
      </c>
      <c r="H17" s="43">
        <f t="shared" si="1"/>
        <v>137.5</v>
      </c>
      <c r="I17" s="43">
        <f t="shared" si="2"/>
        <v>0.11080293013295324</v>
      </c>
      <c r="J17" s="43">
        <f>s_C*s_EF_iw*(1/365)*s_ED_ind*(s_ET_iw_o+s_ET_iw_i)*(1/24)*up_RadSpec!AA17*up_RadSpec!Q17*1</f>
        <v>5.6876175127585318E-2</v>
      </c>
      <c r="K17" s="4"/>
      <c r="L17" s="4"/>
      <c r="M17" s="4"/>
      <c r="N17" s="4"/>
      <c r="O17" s="4"/>
      <c r="P17" s="22">
        <f>IFERROR((s_TR/(up_RadSpec!F17*s_EF_iw*(1/365)*s_ED_ind*up_RadSpec!Q17*(s_ET_iw_o+s_ET_iw_i)*(1/24)*up_RadSpec!AA17))*1,".")</f>
        <v>1.7582054309327029E-4</v>
      </c>
      <c r="Q17" s="22">
        <f>IFERROR((s_TR/(up_RadSpec!M17*s_EF_iw*(1/365)*s_ED_ind*up_RadSpec!R17*(s_ET_iw_o+s_ET_iw_i)*(1/24)*up_RadSpec!AB17))*1,".")</f>
        <v>3.0728316909221434E-4</v>
      </c>
      <c r="R17" s="22">
        <f>IFERROR((s_TR/(up_RadSpec!N17*s_EF_iw*(1/365)*s_ED_ind*up_RadSpec!S17*(s_ET_iw_o+s_ET_iw_i)*(1/24)*up_RadSpec!AC17))*1,".")</f>
        <v>2.3151157268804331E-4</v>
      </c>
      <c r="S17" s="22">
        <f>IFERROR((s_TR/(up_RadSpec!O17*s_EF_iw*(1/365)*s_ED_ind*up_RadSpec!T17*(s_ET_iw_o+s_ET_iw_i)*(1/24)*up_RadSpec!AD17))*1,".")</f>
        <v>2.0586737691433938E-4</v>
      </c>
      <c r="T17" s="22">
        <f>IFERROR((s_TR/(up_RadSpec!K17*s_EF_iw*(1/365)*s_ED_ind*up_RadSpec!P17*(s_ET_iw_o+s_ET_iw_i)*(1/24)*up_RadSpec!Z17))*1,".")</f>
        <v>5.8879637496459935E-4</v>
      </c>
      <c r="U17" s="43">
        <f>s_C*s_EF_iw*(1/365)*s_ED_ind*(s_ET_iw_o+s_ET_iw_i)*(1/24)*up_RadSpec!AA17*up_RadSpec!Q17*1</f>
        <v>5.6876175127585318E-2</v>
      </c>
      <c r="V17" s="43">
        <f>s_C*s_EF_iw*(1/365)*s_ED_ind*(s_ET_iw_o+s_ET_iw_i)*(1/24)*up_RadSpec!AB17*up_RadSpec!R17*1</f>
        <v>3.2543272804502497E-2</v>
      </c>
      <c r="W17" s="43">
        <f>s_C*s_EF_iw*(1/365)*s_ED_ind*(s_ET_iw_o+s_ET_iw_i)*(1/24)*up_RadSpec!AC17*up_RadSpec!S17*1</f>
        <v>4.3194384988584481E-2</v>
      </c>
      <c r="X17" s="43">
        <f>s_C*s_EF_iw*(1/365)*s_ED_ind*(s_ET_iw_o+s_ET_iw_i)*(1/24)*up_RadSpec!AD17*up_RadSpec!T17*1</f>
        <v>4.8574961948249645E-2</v>
      </c>
      <c r="Y17" s="43">
        <f>s_C*s_EF_iw*(1/365)*s_ED_ind*(s_ET_iw_o+s_ET_iw_i)*(1/24)*up_RadSpec!Z17*up_RadSpec!P17*1</f>
        <v>1.6983800215484072E-2</v>
      </c>
      <c r="Z17" s="11"/>
      <c r="AA17" s="11"/>
      <c r="AB17" s="11"/>
      <c r="AC17" s="11"/>
      <c r="AD17" s="11"/>
      <c r="AE17" s="22">
        <f>IFERROR(s_TR/(up_RadSpec!G17*s_EF_iw*s_ED_ind*(s_ET_iw_o+s_ET_iw_i)*(1/24)*s_IRA_iw),".")</f>
        <v>2.9090909090909094E-10</v>
      </c>
      <c r="AF17" s="22">
        <f>IFERROR(s_TR/(up_RadSpec!J17*s_EF_iw*(1/365)*s_ED_ind*(s_ET_iw_o+s_ET_iw_i)*(1/24)*s_GSF_a),".")</f>
        <v>6.3709090909090908E-6</v>
      </c>
      <c r="AG17" s="22">
        <f t="shared" si="6"/>
        <v>2.9089580799548386E-10</v>
      </c>
      <c r="AH17" s="43">
        <f t="shared" si="4"/>
        <v>34375</v>
      </c>
      <c r="AI17" s="43">
        <f t="shared" si="5"/>
        <v>1.5696347031963471</v>
      </c>
      <c r="AJ17" s="10"/>
      <c r="AK17" s="10"/>
      <c r="AL17" s="10"/>
    </row>
    <row r="18" spans="1:38" x14ac:dyDescent="0.25">
      <c r="A18" s="23" t="s">
        <v>28</v>
      </c>
      <c r="B18" s="24" t="s">
        <v>289</v>
      </c>
      <c r="C18" s="109"/>
      <c r="D18" s="22">
        <f>IFERROR((s_TR/(up_RadSpec!I18*s_EF_iw*s_ED_ind*s_IRS_iw*(1/1000)))*1,".")</f>
        <v>7.272727272727274E-8</v>
      </c>
      <c r="E18" s="22">
        <f>IFERROR(IF(A18="H-3",(s_TR/(up_RadSpec!G18*s_EF_iw*s_ED_ind*(s_ET_iw_o+s_ET_iw_i)*(1/24)*s_IRA_iw*(1/17)*1000))*1,(s_TR/(up_RadSpec!G18*s_EF_iw*s_ED_ind*(s_ET_iw_o+s_ET_iw_i)*(1/24)*s_IRA_iw*(1/s_PEF_wind)*1000))*1),".")</f>
        <v>9.0250320889537203E-5</v>
      </c>
      <c r="F18" s="22">
        <f>IFERROR((s_TR/(up_RadSpec!F18*s_EF_iw*(1/365)*s_ED_ind*up_RadSpec!Q18*(s_ET_iw_o+s_ET_iw_i)*(1/24)*up_RadSpec!AA18))*1,".")</f>
        <v>8.9547762454264033E-5</v>
      </c>
      <c r="G18" s="22">
        <f t="shared" si="0"/>
        <v>7.2609789992624135E-8</v>
      </c>
      <c r="H18" s="43">
        <f t="shared" si="1"/>
        <v>137.5</v>
      </c>
      <c r="I18" s="43">
        <f t="shared" si="2"/>
        <v>0.11080293013295324</v>
      </c>
      <c r="J18" s="43">
        <f>s_C*s_EF_iw*(1/365)*s_ED_ind*(s_ET_iw_o+s_ET_iw_i)*(1/24)*up_RadSpec!AA18*up_RadSpec!Q18*1</f>
        <v>0.11167224870758152</v>
      </c>
      <c r="K18" s="4"/>
      <c r="L18" s="4"/>
      <c r="M18" s="4"/>
      <c r="N18" s="4"/>
      <c r="O18" s="4"/>
      <c r="P18" s="22">
        <f>IFERROR((s_TR/(up_RadSpec!F18*s_EF_iw*(1/365)*s_ED_ind*up_RadSpec!Q18*(s_ET_iw_o+s_ET_iw_i)*(1/24)*up_RadSpec!AA18))*1,".")</f>
        <v>8.9547762454264033E-5</v>
      </c>
      <c r="Q18" s="22">
        <f>IFERROR((s_TR/(up_RadSpec!M18*s_EF_iw*(1/365)*s_ED_ind*up_RadSpec!R18*(s_ET_iw_o+s_ET_iw_i)*(1/24)*up_RadSpec!AB18))*1,".")</f>
        <v>1.7718902910121044E-4</v>
      </c>
      <c r="R18" s="22">
        <f>IFERROR((s_TR/(up_RadSpec!N18*s_EF_iw*(1/365)*s_ED_ind*up_RadSpec!S18*(s_ET_iw_o+s_ET_iw_i)*(1/24)*up_RadSpec!AC18))*1,".")</f>
        <v>1.2408469260888124E-4</v>
      </c>
      <c r="S18" s="22">
        <f>IFERROR((s_TR/(up_RadSpec!O18*s_EF_iw*(1/365)*s_ED_ind*up_RadSpec!T18*(s_ET_iw_o+s_ET_iw_i)*(1/24)*up_RadSpec!AD18))*1,".")</f>
        <v>1.0280640881722631E-4</v>
      </c>
      <c r="T18" s="22">
        <f>IFERROR((s_TR/(up_RadSpec!K18*s_EF_iw*(1/365)*s_ED_ind*up_RadSpec!P18*(s_ET_iw_o+s_ET_iw_i)*(1/24)*up_RadSpec!Z18))*1,".")</f>
        <v>3.0118881118881119E-4</v>
      </c>
      <c r="U18" s="43">
        <f>s_C*s_EF_iw*(1/365)*s_ED_ind*(s_ET_iw_o+s_ET_iw_i)*(1/24)*up_RadSpec!AA18*up_RadSpec!Q18*1</f>
        <v>0.11167224870758152</v>
      </c>
      <c r="V18" s="43">
        <f>s_C*s_EF_iw*(1/365)*s_ED_ind*(s_ET_iw_o+s_ET_iw_i)*(1/24)*up_RadSpec!AB18*up_RadSpec!R18*1</f>
        <v>5.6436902728825261E-2</v>
      </c>
      <c r="W18" s="43">
        <f>s_C*s_EF_iw*(1/365)*s_ED_ind*(s_ET_iw_o+s_ET_iw_i)*(1/24)*up_RadSpec!AC18*up_RadSpec!S18*1</f>
        <v>8.0590117844110784E-2</v>
      </c>
      <c r="X18" s="43">
        <f>s_C*s_EF_iw*(1/365)*s_ED_ind*(s_ET_iw_o+s_ET_iw_i)*(1/24)*up_RadSpec!AD18*up_RadSpec!T18*1</f>
        <v>9.7270200516180252E-2</v>
      </c>
      <c r="Y18" s="43">
        <f>s_C*s_EF_iw*(1/365)*s_ED_ind*(s_ET_iw_o+s_ET_iw_i)*(1/24)*up_RadSpec!Z18*up_RadSpec!P18*1</f>
        <v>3.3201764569305792E-2</v>
      </c>
      <c r="Z18" s="11"/>
      <c r="AA18" s="11"/>
      <c r="AB18" s="11"/>
      <c r="AC18" s="11"/>
      <c r="AD18" s="11"/>
      <c r="AE18" s="22">
        <f>IFERROR(s_TR/(up_RadSpec!G18*s_EF_iw*s_ED_ind*(s_ET_iw_o+s_ET_iw_i)*(1/24)*s_IRA_iw),".")</f>
        <v>2.9090909090909094E-10</v>
      </c>
      <c r="AF18" s="22">
        <f>IFERROR(s_TR/(up_RadSpec!J18*s_EF_iw*(1/365)*s_ED_ind*(s_ET_iw_o+s_ET_iw_i)*(1/24)*s_GSF_a),".")</f>
        <v>6.3709090909090908E-6</v>
      </c>
      <c r="AG18" s="22">
        <f t="shared" si="6"/>
        <v>2.9089580799548386E-10</v>
      </c>
      <c r="AH18" s="43">
        <f t="shared" si="4"/>
        <v>34375</v>
      </c>
      <c r="AI18" s="43">
        <f t="shared" si="5"/>
        <v>1.5696347031963471</v>
      </c>
      <c r="AJ18" s="10"/>
      <c r="AK18" s="10"/>
      <c r="AL18" s="10"/>
    </row>
    <row r="19" spans="1:38" x14ac:dyDescent="0.25">
      <c r="A19" s="23" t="s">
        <v>29</v>
      </c>
      <c r="B19" s="24" t="s">
        <v>289</v>
      </c>
      <c r="C19" s="2"/>
      <c r="D19" s="22">
        <f>IFERROR((s_TR/(up_RadSpec!I19*s_EF_iw*s_ED_ind*s_IRS_iw*(1/1000)))*1,".")</f>
        <v>7.272727272727274E-8</v>
      </c>
      <c r="E19" s="22">
        <f>IFERROR(IF(A19="H-3",(s_TR/(up_RadSpec!G19*s_EF_iw*s_ED_ind*(s_ET_iw_o+s_ET_iw_i)*(1/24)*s_IRA_iw*(1/17)*1000))*1,(s_TR/(up_RadSpec!G19*s_EF_iw*s_ED_ind*(s_ET_iw_o+s_ET_iw_i)*(1/24)*s_IRA_iw*(1/s_PEF_wind)*1000))*1),".")</f>
        <v>9.0250320889537203E-5</v>
      </c>
      <c r="F19" s="22">
        <f>IFERROR((s_TR/(up_RadSpec!F19*s_EF_iw*(1/365)*s_ED_ind*up_RadSpec!Q19*(s_ET_iw_o+s_ET_iw_i)*(1/24)*up_RadSpec!AA19))*1,".")</f>
        <v>9.1374007581718046E-5</v>
      </c>
      <c r="G19" s="22">
        <f t="shared" si="0"/>
        <v>7.2610966728673166E-8</v>
      </c>
      <c r="H19" s="43">
        <f t="shared" si="1"/>
        <v>137.5</v>
      </c>
      <c r="I19" s="43">
        <f t="shared" si="2"/>
        <v>0.11080293013295324</v>
      </c>
      <c r="J19" s="43">
        <f>s_C*s_EF_iw*(1/365)*s_ED_ind*(s_ET_iw_o+s_ET_iw_i)*(1/24)*up_RadSpec!AA19*up_RadSpec!Q19*1</f>
        <v>0.10944031311154599</v>
      </c>
      <c r="K19" s="4"/>
      <c r="L19" s="4"/>
      <c r="M19" s="4"/>
      <c r="N19" s="4"/>
      <c r="O19" s="4"/>
      <c r="P19" s="22">
        <f>IFERROR((s_TR/(up_RadSpec!F19*s_EF_iw*(1/365)*s_ED_ind*up_RadSpec!Q19*(s_ET_iw_o+s_ET_iw_i)*(1/24)*up_RadSpec!AA19))*1,".")</f>
        <v>9.1374007581718046E-5</v>
      </c>
      <c r="Q19" s="22">
        <f>IFERROR((s_TR/(up_RadSpec!M19*s_EF_iw*(1/365)*s_ED_ind*up_RadSpec!R19*(s_ET_iw_o+s_ET_iw_i)*(1/24)*up_RadSpec!AB19))*1,".")</f>
        <v>1.8123153442302383E-4</v>
      </c>
      <c r="R19" s="22">
        <f>IFERROR((s_TR/(up_RadSpec!N19*s_EF_iw*(1/365)*s_ED_ind*up_RadSpec!S19*(s_ET_iw_o+s_ET_iw_i)*(1/24)*up_RadSpec!AC19))*1,".")</f>
        <v>1.2562955760816731E-4</v>
      </c>
      <c r="S19" s="22">
        <f>IFERROR((s_TR/(up_RadSpec!O19*s_EF_iw*(1/365)*s_ED_ind*up_RadSpec!T19*(s_ET_iw_o+s_ET_iw_i)*(1/24)*up_RadSpec!AD19))*1,".")</f>
        <v>1.0492628992628992E-4</v>
      </c>
      <c r="T19" s="22">
        <f>IFERROR((s_TR/(up_RadSpec!K19*s_EF_iw*(1/365)*s_ED_ind*up_RadSpec!P19*(s_ET_iw_o+s_ET_iw_i)*(1/24)*up_RadSpec!Z19))*1,".")</f>
        <v>3.1208568961627937E-4</v>
      </c>
      <c r="U19" s="43">
        <f>s_C*s_EF_iw*(1/365)*s_ED_ind*(s_ET_iw_o+s_ET_iw_i)*(1/24)*up_RadSpec!AA19*up_RadSpec!Q19*1</f>
        <v>0.10944031311154599</v>
      </c>
      <c r="V19" s="43">
        <f>s_C*s_EF_iw*(1/365)*s_ED_ind*(s_ET_iw_o+s_ET_iw_i)*(1/24)*up_RadSpec!AB19*up_RadSpec!R19*1</f>
        <v>5.5178035278663919E-2</v>
      </c>
      <c r="W19" s="43">
        <f>s_C*s_EF_iw*(1/365)*s_ED_ind*(s_ET_iw_o+s_ET_iw_i)*(1/24)*up_RadSpec!AC19*up_RadSpec!S19*1</f>
        <v>7.9599102236668967E-2</v>
      </c>
      <c r="X19" s="43">
        <f>s_C*s_EF_iw*(1/365)*s_ED_ind*(s_ET_iw_o+s_ET_iw_i)*(1/24)*up_RadSpec!AD19*up_RadSpec!T19*1</f>
        <v>9.530499941458849E-2</v>
      </c>
      <c r="Y19" s="43">
        <f>s_C*s_EF_iw*(1/365)*s_ED_ind*(s_ET_iw_o+s_ET_iw_i)*(1/24)*up_RadSpec!Z19*up_RadSpec!P19*1</f>
        <v>3.2042481705250134E-2</v>
      </c>
      <c r="Z19" s="11"/>
      <c r="AA19" s="11"/>
      <c r="AB19" s="11"/>
      <c r="AC19" s="11"/>
      <c r="AD19" s="11"/>
      <c r="AE19" s="22">
        <f>IFERROR(s_TR/(up_RadSpec!G19*s_EF_iw*s_ED_ind*(s_ET_iw_o+s_ET_iw_i)*(1/24)*s_IRA_iw),".")</f>
        <v>2.9090909090909094E-10</v>
      </c>
      <c r="AF19" s="22">
        <f>IFERROR(s_TR/(up_RadSpec!J19*s_EF_iw*(1/365)*s_ED_ind*(s_ET_iw_o+s_ET_iw_i)*(1/24)*s_GSF_a),".")</f>
        <v>6.3709090909090908E-6</v>
      </c>
      <c r="AG19" s="22">
        <f t="shared" si="6"/>
        <v>2.9089580799548386E-10</v>
      </c>
      <c r="AH19" s="43">
        <f t="shared" si="4"/>
        <v>34375</v>
      </c>
      <c r="AI19" s="43">
        <f t="shared" si="5"/>
        <v>1.5696347031963471</v>
      </c>
      <c r="AJ19" s="10"/>
      <c r="AK19" s="10"/>
      <c r="AL19" s="10"/>
    </row>
    <row r="20" spans="1:38" x14ac:dyDescent="0.25">
      <c r="A20" s="23" t="s">
        <v>30</v>
      </c>
      <c r="B20" s="24" t="s">
        <v>289</v>
      </c>
      <c r="C20" s="109"/>
      <c r="D20" s="22">
        <f>IFERROR((s_TR/(up_RadSpec!I20*s_EF_iw*s_ED_ind*s_IRS_iw*(1/1000)))*1,".")</f>
        <v>7.272727272727274E-8</v>
      </c>
      <c r="E20" s="22">
        <f>IFERROR(IF(A20="H-3",(s_TR/(up_RadSpec!G20*s_EF_iw*s_ED_ind*(s_ET_iw_o+s_ET_iw_i)*(1/24)*s_IRA_iw*(1/17)*1000))*1,(s_TR/(up_RadSpec!G20*s_EF_iw*s_ED_ind*(s_ET_iw_o+s_ET_iw_i)*(1/24)*s_IRA_iw*(1/s_PEF_wind)*1000))*1),".")</f>
        <v>9.0250320889537203E-5</v>
      </c>
      <c r="F20" s="22">
        <f>IFERROR((s_TR/(up_RadSpec!F20*s_EF_iw*(1/365)*s_ED_ind*up_RadSpec!Q20*(s_ET_iw_o+s_ET_iw_i)*(1/24)*up_RadSpec!AA20))*1,".")</f>
        <v>8.9848528906394523E-5</v>
      </c>
      <c r="G20" s="22">
        <f t="shared" si="0"/>
        <v>7.260998707837382E-8</v>
      </c>
      <c r="H20" s="43">
        <f t="shared" si="1"/>
        <v>137.5</v>
      </c>
      <c r="I20" s="43">
        <f t="shared" si="2"/>
        <v>0.11080293013295324</v>
      </c>
      <c r="J20" s="43">
        <f>s_C*s_EF_iw*(1/365)*s_ED_ind*(s_ET_iw_o+s_ET_iw_i)*(1/24)*up_RadSpec!AA20*up_RadSpec!Q20*1</f>
        <v>0.1112984277173658</v>
      </c>
      <c r="K20" s="4"/>
      <c r="L20" s="4"/>
      <c r="M20" s="4"/>
      <c r="N20" s="4"/>
      <c r="O20" s="4"/>
      <c r="P20" s="22">
        <f>IFERROR((s_TR/(up_RadSpec!F20*s_EF_iw*(1/365)*s_ED_ind*up_RadSpec!Q20*(s_ET_iw_o+s_ET_iw_i)*(1/24)*up_RadSpec!AA20))*1,".")</f>
        <v>8.9848528906394523E-5</v>
      </c>
      <c r="Q20" s="22">
        <f>IFERROR((s_TR/(up_RadSpec!M20*s_EF_iw*(1/365)*s_ED_ind*up_RadSpec!R20*(s_ET_iw_o+s_ET_iw_i)*(1/24)*up_RadSpec!AB20))*1,".")</f>
        <v>1.7718980853309214E-4</v>
      </c>
      <c r="R20" s="22">
        <f>IFERROR((s_TR/(up_RadSpec!N20*s_EF_iw*(1/365)*s_ED_ind*up_RadSpec!S20*(s_ET_iw_o+s_ET_iw_i)*(1/24)*up_RadSpec!AC20))*1,".")</f>
        <v>1.23976023976024E-4</v>
      </c>
      <c r="S20" s="22">
        <f>IFERROR((s_TR/(up_RadSpec!O20*s_EF_iw*(1/365)*s_ED_ind*up_RadSpec!T20*(s_ET_iw_o+s_ET_iw_i)*(1/24)*up_RadSpec!AD20))*1,".")</f>
        <v>1.0409982174688062E-4</v>
      </c>
      <c r="T20" s="22">
        <f>IFERROR((s_TR/(up_RadSpec!K20*s_EF_iw*(1/365)*s_ED_ind*up_RadSpec!P20*(s_ET_iw_o+s_ET_iw_i)*(1/24)*up_RadSpec!Z20))*1,".")</f>
        <v>3.0192465192465203E-4</v>
      </c>
      <c r="U20" s="43">
        <f>s_C*s_EF_iw*(1/365)*s_ED_ind*(s_ET_iw_o+s_ET_iw_i)*(1/24)*up_RadSpec!AA20*up_RadSpec!Q20*1</f>
        <v>0.1112984277173658</v>
      </c>
      <c r="V20" s="43">
        <f>s_C*s_EF_iw*(1/365)*s_ED_ind*(s_ET_iw_o+s_ET_iw_i)*(1/24)*up_RadSpec!AB20*up_RadSpec!R20*1</f>
        <v>5.6436654471198847E-2</v>
      </c>
      <c r="W20" s="43">
        <f>s_C*s_EF_iw*(1/365)*s_ED_ind*(s_ET_iw_o+s_ET_iw_i)*(1/24)*up_RadSpec!AC20*up_RadSpec!S20*1</f>
        <v>8.0660757453666396E-2</v>
      </c>
      <c r="X20" s="43">
        <f>s_C*s_EF_iw*(1/365)*s_ED_ind*(s_ET_iw_o+s_ET_iw_i)*(1/24)*up_RadSpec!AD20*up_RadSpec!T20*1</f>
        <v>9.6061643835616412E-2</v>
      </c>
      <c r="Y20" s="43">
        <f>s_C*s_EF_iw*(1/365)*s_ED_ind*(s_ET_iw_o+s_ET_iw_i)*(1/24)*up_RadSpec!Z20*up_RadSpec!P20*1</f>
        <v>3.3120846331208459E-2</v>
      </c>
      <c r="Z20" s="11"/>
      <c r="AA20" s="11"/>
      <c r="AB20" s="11"/>
      <c r="AC20" s="11"/>
      <c r="AD20" s="11"/>
      <c r="AE20" s="22">
        <f>IFERROR(s_TR/(up_RadSpec!G20*s_EF_iw*s_ED_ind*(s_ET_iw_o+s_ET_iw_i)*(1/24)*s_IRA_iw),".")</f>
        <v>2.9090909090909094E-10</v>
      </c>
      <c r="AF20" s="22">
        <f>IFERROR(s_TR/(up_RadSpec!J20*s_EF_iw*(1/365)*s_ED_ind*(s_ET_iw_o+s_ET_iw_i)*(1/24)*s_GSF_a),".")</f>
        <v>6.3709090909090908E-6</v>
      </c>
      <c r="AG20" s="22">
        <f t="shared" si="6"/>
        <v>2.9089580799548386E-10</v>
      </c>
      <c r="AH20" s="43">
        <f t="shared" si="4"/>
        <v>34375</v>
      </c>
      <c r="AI20" s="43">
        <f t="shared" si="5"/>
        <v>1.5696347031963471</v>
      </c>
      <c r="AJ20" s="10"/>
      <c r="AK20" s="10"/>
      <c r="AL20" s="10"/>
    </row>
    <row r="21" spans="1:38" x14ac:dyDescent="0.25">
      <c r="A21" s="23" t="s">
        <v>31</v>
      </c>
      <c r="B21" s="24" t="s">
        <v>289</v>
      </c>
      <c r="C21" s="109"/>
      <c r="D21" s="22">
        <f>IFERROR((s_TR/(up_RadSpec!I21*s_EF_iw*s_ED_ind*s_IRS_iw*(1/1000)))*1,".")</f>
        <v>7.272727272727274E-8</v>
      </c>
      <c r="E21" s="22">
        <f>IFERROR(IF(A21="H-3",(s_TR/(up_RadSpec!G21*s_EF_iw*s_ED_ind*(s_ET_iw_o+s_ET_iw_i)*(1/24)*s_IRA_iw*(1/17)*1000))*1,(s_TR/(up_RadSpec!G21*s_EF_iw*s_ED_ind*(s_ET_iw_o+s_ET_iw_i)*(1/24)*s_IRA_iw*(1/s_PEF_wind)*1000))*1),".")</f>
        <v>9.0250320889537203E-5</v>
      </c>
      <c r="F21" s="22" t="str">
        <f>IFERROR((s_TR/(up_RadSpec!F21*s_EF_iw*(1/365)*s_ED_ind*up_RadSpec!Q21*(s_ET_iw_o+s_ET_iw_i)*(1/24)*up_RadSpec!AA21))*1,".")</f>
        <v>.</v>
      </c>
      <c r="G21" s="22">
        <f t="shared" si="0"/>
        <v>7.26687134081846E-8</v>
      </c>
      <c r="H21" s="43">
        <f t="shared" si="1"/>
        <v>137.5</v>
      </c>
      <c r="I21" s="43">
        <f t="shared" si="2"/>
        <v>0.11080293013295324</v>
      </c>
      <c r="J21" s="43">
        <f>s_C*s_EF_iw*(1/365)*s_ED_ind*(s_ET_iw_o+s_ET_iw_i)*(1/24)*up_RadSpec!AA21*up_RadSpec!Q21*1</f>
        <v>0</v>
      </c>
      <c r="K21" s="4"/>
      <c r="L21" s="4"/>
      <c r="M21" s="4"/>
      <c r="N21" s="4"/>
      <c r="O21" s="4"/>
      <c r="P21" s="22" t="str">
        <f>IFERROR((s_TR/(up_RadSpec!F21*s_EF_iw*(1/365)*s_ED_ind*up_RadSpec!Q21*(s_ET_iw_o+s_ET_iw_i)*(1/24)*up_RadSpec!AA21))*1,".")</f>
        <v>.</v>
      </c>
      <c r="Q21" s="22" t="str">
        <f>IFERROR((s_TR/(up_RadSpec!M21*s_EF_iw*(1/365)*s_ED_ind*up_RadSpec!R21*(s_ET_iw_o+s_ET_iw_i)*(1/24)*up_RadSpec!AB21))*1,".")</f>
        <v>.</v>
      </c>
      <c r="R21" s="22" t="str">
        <f>IFERROR((s_TR/(up_RadSpec!N21*s_EF_iw*(1/365)*s_ED_ind*up_RadSpec!S21*(s_ET_iw_o+s_ET_iw_i)*(1/24)*up_RadSpec!AC21))*1,".")</f>
        <v>.</v>
      </c>
      <c r="S21" s="22" t="str">
        <f>IFERROR((s_TR/(up_RadSpec!O21*s_EF_iw*(1/365)*s_ED_ind*up_RadSpec!T21*(s_ET_iw_o+s_ET_iw_i)*(1/24)*up_RadSpec!AD21))*1,".")</f>
        <v>.</v>
      </c>
      <c r="T21" s="22" t="str">
        <f>IFERROR((s_TR/(up_RadSpec!K21*s_EF_iw*(1/365)*s_ED_ind*up_RadSpec!P21*(s_ET_iw_o+s_ET_iw_i)*(1/24)*up_RadSpec!Z21))*1,".")</f>
        <v>.</v>
      </c>
      <c r="U21" s="43">
        <f>s_C*s_EF_iw*(1/365)*s_ED_ind*(s_ET_iw_o+s_ET_iw_i)*(1/24)*up_RadSpec!AA21*up_RadSpec!Q21*1</f>
        <v>0</v>
      </c>
      <c r="V21" s="43">
        <f>s_C*s_EF_iw*(1/365)*s_ED_ind*(s_ET_iw_o+s_ET_iw_i)*(1/24)*up_RadSpec!AB21*up_RadSpec!R21*1</f>
        <v>0</v>
      </c>
      <c r="W21" s="43">
        <f>s_C*s_EF_iw*(1/365)*s_ED_ind*(s_ET_iw_o+s_ET_iw_i)*(1/24)*up_RadSpec!AC21*up_RadSpec!S21*1</f>
        <v>0</v>
      </c>
      <c r="X21" s="43">
        <f>s_C*s_EF_iw*(1/365)*s_ED_ind*(s_ET_iw_o+s_ET_iw_i)*(1/24)*up_RadSpec!AD21*up_RadSpec!T21*1</f>
        <v>0</v>
      </c>
      <c r="Y21" s="43">
        <f>s_C*s_EF_iw*(1/365)*s_ED_ind*(s_ET_iw_o+s_ET_iw_i)*(1/24)*up_RadSpec!Z21*up_RadSpec!P21*1</f>
        <v>0</v>
      </c>
      <c r="Z21" s="11"/>
      <c r="AA21" s="11"/>
      <c r="AB21" s="11"/>
      <c r="AC21" s="11"/>
      <c r="AD21" s="11"/>
      <c r="AE21" s="22">
        <f>IFERROR(s_TR/(up_RadSpec!G21*s_EF_iw*s_ED_ind*(s_ET_iw_o+s_ET_iw_i)*(1/24)*s_IRA_iw),".")</f>
        <v>2.9090909090909094E-10</v>
      </c>
      <c r="AF21" s="22">
        <f>IFERROR(s_TR/(up_RadSpec!J21*s_EF_iw*(1/365)*s_ED_ind*(s_ET_iw_o+s_ET_iw_i)*(1/24)*s_GSF_a),".")</f>
        <v>6.3709090909090908E-6</v>
      </c>
      <c r="AG21" s="22">
        <f t="shared" si="6"/>
        <v>2.9089580799548386E-10</v>
      </c>
      <c r="AH21" s="43">
        <f t="shared" si="4"/>
        <v>34375</v>
      </c>
      <c r="AI21" s="43">
        <f t="shared" si="5"/>
        <v>1.5696347031963471</v>
      </c>
      <c r="AJ21" s="10"/>
      <c r="AK21" s="10"/>
      <c r="AL21" s="10"/>
    </row>
    <row r="22" spans="1:38" x14ac:dyDescent="0.25">
      <c r="A22" s="23" t="s">
        <v>32</v>
      </c>
      <c r="B22" s="24" t="s">
        <v>289</v>
      </c>
      <c r="C22" s="2"/>
      <c r="D22" s="22">
        <f>IFERROR((s_TR/(up_RadSpec!I22*s_EF_iw*s_ED_ind*s_IRS_iw*(1/1000)))*1,".")</f>
        <v>7.272727272727274E-8</v>
      </c>
      <c r="E22" s="22">
        <f>IFERROR(IF(A22="H-3",(s_TR/(up_RadSpec!G22*s_EF_iw*s_ED_ind*(s_ET_iw_o+s_ET_iw_i)*(1/24)*s_IRA_iw*(1/17)*1000))*1,(s_TR/(up_RadSpec!G22*s_EF_iw*s_ED_ind*(s_ET_iw_o+s_ET_iw_i)*(1/24)*s_IRA_iw*(1/s_PEF_wind)*1000))*1),".")</f>
        <v>9.0250320889537203E-5</v>
      </c>
      <c r="F22" s="22">
        <f>IFERROR((s_TR/(up_RadSpec!F22*s_EF_iw*(1/365)*s_ED_ind*up_RadSpec!Q22*(s_ET_iw_o+s_ET_iw_i)*(1/24)*up_RadSpec!AA22))*1,".")</f>
        <v>382.12609970674498</v>
      </c>
      <c r="G22" s="22">
        <f t="shared" si="0"/>
        <v>7.2668713394365231E-8</v>
      </c>
      <c r="H22" s="43">
        <f t="shared" si="1"/>
        <v>137.5</v>
      </c>
      <c r="I22" s="43">
        <f t="shared" si="2"/>
        <v>0.11080293013295324</v>
      </c>
      <c r="J22" s="43">
        <f>s_C*s_EF_iw*(1/365)*s_ED_ind*(s_ET_iw_o+s_ET_iw_i)*(1/24)*up_RadSpec!AA22*up_RadSpec!Q22*1</f>
        <v>2.616937185833237E-8</v>
      </c>
      <c r="K22" s="4"/>
      <c r="L22" s="4"/>
      <c r="M22" s="4"/>
      <c r="N22" s="4"/>
      <c r="O22" s="4"/>
      <c r="P22" s="22">
        <f>IFERROR((s_TR/(up_RadSpec!F22*s_EF_iw*(1/365)*s_ED_ind*up_RadSpec!Q22*(s_ET_iw_o+s_ET_iw_i)*(1/24)*up_RadSpec!AA22))*1,".")</f>
        <v>382.12609970674498</v>
      </c>
      <c r="Q22" s="22">
        <f>IFERROR((s_TR/(up_RadSpec!M22*s_EF_iw*(1/365)*s_ED_ind*up_RadSpec!R22*(s_ET_iw_o+s_ET_iw_i)*(1/24)*up_RadSpec!AB22))*1,".")</f>
        <v>350.15007875419798</v>
      </c>
      <c r="R22" s="22">
        <f>IFERROR((s_TR/(up_RadSpec!N22*s_EF_iw*(1/365)*s_ED_ind*up_RadSpec!S22*(s_ET_iw_o+s_ET_iw_i)*(1/24)*up_RadSpec!AC22))*1,".")</f>
        <v>269.00901897858688</v>
      </c>
      <c r="S22" s="22">
        <f>IFERROR((s_TR/(up_RadSpec!O22*s_EF_iw*(1/365)*s_ED_ind*up_RadSpec!T22*(s_ET_iw_o+s_ET_iw_i)*(1/24)*up_RadSpec!AD22))*1,".")</f>
        <v>277.20643939393926</v>
      </c>
      <c r="T22" s="22">
        <f>IFERROR((s_TR/(up_RadSpec!K22*s_EF_iw*(1/365)*s_ED_ind*up_RadSpec!P22*(s_ET_iw_o+s_ET_iw_i)*(1/24)*up_RadSpec!Z22))*1,".")</f>
        <v>1966.9716748383878</v>
      </c>
      <c r="U22" s="43">
        <f>s_C*s_EF_iw*(1/365)*s_ED_ind*(s_ET_iw_o+s_ET_iw_i)*(1/24)*up_RadSpec!AA22*up_RadSpec!Q22*1</f>
        <v>2.616937185833237E-8</v>
      </c>
      <c r="V22" s="43">
        <f>s_C*s_EF_iw*(1/365)*s_ED_ind*(s_ET_iw_o+s_ET_iw_i)*(1/24)*up_RadSpec!AB22*up_RadSpec!R22*1</f>
        <v>2.8559182495628984E-8</v>
      </c>
      <c r="W22" s="43">
        <f>s_C*s_EF_iw*(1/365)*s_ED_ind*(s_ET_iw_o+s_ET_iw_i)*(1/24)*up_RadSpec!AC22*up_RadSpec!S22*1</f>
        <v>3.717347484470772E-8</v>
      </c>
      <c r="X22" s="43">
        <f>s_C*s_EF_iw*(1/365)*s_ED_ind*(s_ET_iw_o+s_ET_iw_i)*(1/24)*up_RadSpec!AD22*up_RadSpec!T22*1</f>
        <v>3.607419806647766E-8</v>
      </c>
      <c r="Y22" s="43">
        <f>s_C*s_EF_iw*(1/365)*s_ED_ind*(s_ET_iw_o+s_ET_iw_i)*(1/24)*up_RadSpec!Z22*up_RadSpec!P22*1</f>
        <v>5.0839572973625212E-9</v>
      </c>
      <c r="Z22" s="11"/>
      <c r="AA22" s="11"/>
      <c r="AB22" s="11"/>
      <c r="AC22" s="11"/>
      <c r="AD22" s="11"/>
      <c r="AE22" s="22">
        <f>IFERROR(s_TR/(up_RadSpec!G22*s_EF_iw*s_ED_ind*(s_ET_iw_o+s_ET_iw_i)*(1/24)*s_IRA_iw),".")</f>
        <v>2.9090909090909094E-10</v>
      </c>
      <c r="AF22" s="22">
        <f>IFERROR(s_TR/(up_RadSpec!J22*s_EF_iw*(1/365)*s_ED_ind*(s_ET_iw_o+s_ET_iw_i)*(1/24)*s_GSF_a),".")</f>
        <v>6.3709090909090908E-6</v>
      </c>
      <c r="AG22" s="22">
        <f t="shared" si="6"/>
        <v>2.9089580799548386E-10</v>
      </c>
      <c r="AH22" s="43">
        <f t="shared" si="4"/>
        <v>34375</v>
      </c>
      <c r="AI22" s="43">
        <f t="shared" si="5"/>
        <v>1.5696347031963471</v>
      </c>
      <c r="AJ22" s="10"/>
      <c r="AK22" s="10"/>
      <c r="AL22" s="10"/>
    </row>
    <row r="23" spans="1:38" x14ac:dyDescent="0.25">
      <c r="A23" s="25" t="s">
        <v>33</v>
      </c>
      <c r="B23" s="24" t="s">
        <v>275</v>
      </c>
      <c r="C23" s="109"/>
      <c r="D23" s="22">
        <f>IFERROR((s_TR/(up_RadSpec!I23*s_EF_iw*s_ED_ind*s_IRS_iw*(1/1000)))*1,".")</f>
        <v>7.272727272727274E-8</v>
      </c>
      <c r="E23" s="22">
        <f>IFERROR(IF(A23="H-3",(s_TR/(up_RadSpec!G23*s_EF_iw*s_ED_ind*(s_ET_iw_o+s_ET_iw_i)*(1/24)*s_IRA_iw*(1/17)*1000))*1,(s_TR/(up_RadSpec!G23*s_EF_iw*s_ED_ind*(s_ET_iw_o+s_ET_iw_i)*(1/24)*s_IRA_iw*(1/s_PEF_wind)*1000))*1),".")</f>
        <v>9.0250320889537203E-5</v>
      </c>
      <c r="F23" s="22">
        <f>IFERROR((s_TR/(up_RadSpec!F23*s_EF_iw*(1/365)*s_ED_ind*up_RadSpec!Q23*(s_ET_iw_o+s_ET_iw_i)*(1/24)*up_RadSpec!AA23))*1,".")</f>
        <v>8.7509808832122852E-5</v>
      </c>
      <c r="G23" s="22">
        <f t="shared" si="0"/>
        <v>7.2608418905717989E-8</v>
      </c>
      <c r="H23" s="43">
        <f t="shared" si="1"/>
        <v>137.5</v>
      </c>
      <c r="I23" s="43">
        <f t="shared" si="2"/>
        <v>0.11080293013295324</v>
      </c>
      <c r="J23" s="43">
        <f>s_C*s_EF_iw*(1/365)*s_ED_ind*(s_ET_iw_o+s_ET_iw_i)*(1/24)*up_RadSpec!AA23*up_RadSpec!Q23*1</f>
        <v>0.11427290418590459</v>
      </c>
      <c r="K23" s="4"/>
      <c r="L23" s="4"/>
      <c r="M23" s="4"/>
      <c r="N23" s="4"/>
      <c r="O23" s="4"/>
      <c r="P23" s="22">
        <f>IFERROR((s_TR/(up_RadSpec!F23*s_EF_iw*(1/365)*s_ED_ind*up_RadSpec!Q23*(s_ET_iw_o+s_ET_iw_i)*(1/24)*up_RadSpec!AA23))*1,".")</f>
        <v>8.7509808832122852E-5</v>
      </c>
      <c r="Q23" s="22">
        <f>IFERROR((s_TR/(up_RadSpec!M23*s_EF_iw*(1/365)*s_ED_ind*up_RadSpec!R23*(s_ET_iw_o+s_ET_iw_i)*(1/24)*up_RadSpec!AB23))*1,".")</f>
        <v>1.5576910604259012E-4</v>
      </c>
      <c r="R23" s="22">
        <f>IFERROR((s_TR/(up_RadSpec!N23*s_EF_iw*(1/365)*s_ED_ind*up_RadSpec!S23*(s_ET_iw_o+s_ET_iw_i)*(1/24)*up_RadSpec!AC23))*1,".")</f>
        <v>1.1014828321418575E-4</v>
      </c>
      <c r="S23" s="22">
        <f>IFERROR((s_TR/(up_RadSpec!O23*s_EF_iw*(1/365)*s_ED_ind*up_RadSpec!T23*(s_ET_iw_o+s_ET_iw_i)*(1/24)*up_RadSpec!AD23))*1,".")</f>
        <v>9.0137862137862126E-5</v>
      </c>
      <c r="T23" s="22">
        <f>IFERROR((s_TR/(up_RadSpec!K23*s_EF_iw*(1/365)*s_ED_ind*up_RadSpec!P23*(s_ET_iw_o+s_ET_iw_i)*(1/24)*up_RadSpec!Z23))*1,".")</f>
        <v>2.4520489219518341E-4</v>
      </c>
      <c r="U23" s="43">
        <f>s_C*s_EF_iw*(1/365)*s_ED_ind*(s_ET_iw_o+s_ET_iw_i)*(1/24)*up_RadSpec!AA23*up_RadSpec!Q23*1</f>
        <v>0.11427290418590459</v>
      </c>
      <c r="V23" s="43">
        <f>s_C*s_EF_iw*(1/365)*s_ED_ind*(s_ET_iw_o+s_ET_iw_i)*(1/24)*up_RadSpec!AB23*up_RadSpec!R23*1</f>
        <v>6.4197582268115616E-2</v>
      </c>
      <c r="W23" s="43">
        <f>s_C*s_EF_iw*(1/365)*s_ED_ind*(s_ET_iw_o+s_ET_iw_i)*(1/24)*up_RadSpec!AC23*up_RadSpec!S23*1</f>
        <v>9.078670777423542E-2</v>
      </c>
      <c r="X23" s="43">
        <f>s_C*s_EF_iw*(1/365)*s_ED_ind*(s_ET_iw_o+s_ET_iw_i)*(1/24)*up_RadSpec!AD23*up_RadSpec!T23*1</f>
        <v>0.11094117125504281</v>
      </c>
      <c r="Y23" s="43">
        <f>s_C*s_EF_iw*(1/365)*s_ED_ind*(s_ET_iw_o+s_ET_iw_i)*(1/24)*up_RadSpec!Z23*up_RadSpec!P23*1</f>
        <v>4.0782220576741135E-2</v>
      </c>
      <c r="Z23" s="11"/>
      <c r="AA23" s="11"/>
      <c r="AB23" s="11"/>
      <c r="AC23" s="11"/>
      <c r="AD23" s="11"/>
      <c r="AE23" s="22">
        <f>IFERROR(s_TR/(up_RadSpec!G23*s_EF_iw*s_ED_ind*(s_ET_iw_o+s_ET_iw_i)*(1/24)*s_IRA_iw),".")</f>
        <v>2.9090909090909094E-10</v>
      </c>
      <c r="AF23" s="22">
        <f>IFERROR(s_TR/(up_RadSpec!J23*s_EF_iw*(1/365)*s_ED_ind*(s_ET_iw_o+s_ET_iw_i)*(1/24)*s_GSF_a),".")</f>
        <v>6.3709090909090908E-6</v>
      </c>
      <c r="AG23" s="22">
        <f t="shared" si="6"/>
        <v>2.9089580799548386E-10</v>
      </c>
      <c r="AH23" s="43">
        <f t="shared" si="4"/>
        <v>34375</v>
      </c>
      <c r="AI23" s="43">
        <f t="shared" si="5"/>
        <v>1.5696347031963471</v>
      </c>
      <c r="AJ23" s="10"/>
      <c r="AK23" s="10"/>
      <c r="AL23" s="10"/>
    </row>
    <row r="24" spans="1:38" x14ac:dyDescent="0.25">
      <c r="A24" s="23" t="s">
        <v>34</v>
      </c>
      <c r="B24" s="24" t="s">
        <v>289</v>
      </c>
      <c r="C24" s="109"/>
      <c r="D24" s="22">
        <f>IFERROR((s_TR/(up_RadSpec!I24*s_EF_iw*s_ED_ind*s_IRS_iw*(1/1000)))*1,".")</f>
        <v>7.272727272727274E-8</v>
      </c>
      <c r="E24" s="22">
        <f>IFERROR(IF(A24="H-3",(s_TR/(up_RadSpec!G24*s_EF_iw*s_ED_ind*(s_ET_iw_o+s_ET_iw_i)*(1/24)*s_IRA_iw*(1/17)*1000))*1,(s_TR/(up_RadSpec!G24*s_EF_iw*s_ED_ind*(s_ET_iw_o+s_ET_iw_i)*(1/24)*s_IRA_iw*(1/s_PEF_wind)*1000))*1),".")</f>
        <v>9.0250320889537203E-5</v>
      </c>
      <c r="F24" s="22">
        <f>IFERROR((s_TR/(up_RadSpec!F24*s_EF_iw*(1/365)*s_ED_ind*up_RadSpec!Q24*(s_ET_iw_o+s_ET_iw_i)*(1/24)*up_RadSpec!AA24))*1,".")</f>
        <v>1.1471840568895137E-4</v>
      </c>
      <c r="G24" s="22">
        <f t="shared" si="0"/>
        <v>7.2622710337511258E-8</v>
      </c>
      <c r="H24" s="43">
        <f t="shared" si="1"/>
        <v>137.5</v>
      </c>
      <c r="I24" s="43">
        <f t="shared" si="2"/>
        <v>0.11080293013295324</v>
      </c>
      <c r="J24" s="43">
        <f>s_C*s_EF_iw*(1/365)*s_ED_ind*(s_ET_iw_o+s_ET_iw_i)*(1/24)*up_RadSpec!AA24*up_RadSpec!Q24*1</f>
        <v>8.7169970153822579E-2</v>
      </c>
      <c r="K24" s="4"/>
      <c r="L24" s="4"/>
      <c r="M24" s="4"/>
      <c r="N24" s="4"/>
      <c r="O24" s="4"/>
      <c r="P24" s="22">
        <f>IFERROR((s_TR/(up_RadSpec!F24*s_EF_iw*(1/365)*s_ED_ind*up_RadSpec!Q24*(s_ET_iw_o+s_ET_iw_i)*(1/24)*up_RadSpec!AA24))*1,".")</f>
        <v>1.1471840568895137E-4</v>
      </c>
      <c r="Q24" s="22">
        <f>IFERROR((s_TR/(up_RadSpec!M24*s_EF_iw*(1/365)*s_ED_ind*up_RadSpec!R24*(s_ET_iw_o+s_ET_iw_i)*(1/24)*up_RadSpec!AB24))*1,".")</f>
        <v>2.0798618605655087E-4</v>
      </c>
      <c r="R24" s="22">
        <f>IFERROR((s_TR/(up_RadSpec!N24*s_EF_iw*(1/365)*s_ED_ind*up_RadSpec!S24*(s_ET_iw_o+s_ET_iw_i)*(1/24)*up_RadSpec!AC24))*1,".")</f>
        <v>1.4685168700775836E-4</v>
      </c>
      <c r="S24" s="22">
        <f>IFERROR((s_TR/(up_RadSpec!O24*s_EF_iw*(1/365)*s_ED_ind*up_RadSpec!T24*(s_ET_iw_o+s_ET_iw_i)*(1/24)*up_RadSpec!AD24))*1,".")</f>
        <v>1.2263068006831482E-4</v>
      </c>
      <c r="T24" s="22">
        <f>IFERROR((s_TR/(up_RadSpec!K24*s_EF_iw*(1/365)*s_ED_ind*up_RadSpec!P24*(s_ET_iw_o+s_ET_iw_i)*(1/24)*up_RadSpec!Z24))*1,".")</f>
        <v>3.4567432567432559E-4</v>
      </c>
      <c r="U24" s="43">
        <f>s_C*s_EF_iw*(1/365)*s_ED_ind*(s_ET_iw_o+s_ET_iw_i)*(1/24)*up_RadSpec!AA24*up_RadSpec!Q24*1</f>
        <v>8.7169970153822579E-2</v>
      </c>
      <c r="V24" s="43">
        <f>s_C*s_EF_iw*(1/365)*s_ED_ind*(s_ET_iw_o+s_ET_iw_i)*(1/24)*up_RadSpec!AB24*up_RadSpec!R24*1</f>
        <v>4.8080116230801162E-2</v>
      </c>
      <c r="W24" s="43">
        <f>s_C*s_EF_iw*(1/365)*s_ED_ind*(s_ET_iw_o+s_ET_iw_i)*(1/24)*up_RadSpec!AC24*up_RadSpec!S24*1</f>
        <v>6.8095915026646511E-2</v>
      </c>
      <c r="X24" s="43">
        <f>s_C*s_EF_iw*(1/365)*s_ED_ind*(s_ET_iw_o+s_ET_iw_i)*(1/24)*up_RadSpec!AD24*up_RadSpec!T24*1</f>
        <v>8.1545662100456634E-2</v>
      </c>
      <c r="Y24" s="43">
        <f>s_C*s_EF_iw*(1/365)*s_ED_ind*(s_ET_iw_o+s_ET_iw_i)*(1/24)*up_RadSpec!Z24*up_RadSpec!P24*1</f>
        <v>2.8928963643720031E-2</v>
      </c>
      <c r="Z24" s="11"/>
      <c r="AA24" s="11"/>
      <c r="AB24" s="11"/>
      <c r="AC24" s="11"/>
      <c r="AD24" s="11"/>
      <c r="AE24" s="22">
        <f>IFERROR(s_TR/(up_RadSpec!G24*s_EF_iw*s_ED_ind*(s_ET_iw_o+s_ET_iw_i)*(1/24)*s_IRA_iw),".")</f>
        <v>2.9090909090909094E-10</v>
      </c>
      <c r="AF24" s="22">
        <f>IFERROR(s_TR/(up_RadSpec!J24*s_EF_iw*(1/365)*s_ED_ind*(s_ET_iw_o+s_ET_iw_i)*(1/24)*s_GSF_a),".")</f>
        <v>6.3709090909090908E-6</v>
      </c>
      <c r="AG24" s="22">
        <f t="shared" si="6"/>
        <v>2.9089580799548386E-10</v>
      </c>
      <c r="AH24" s="43">
        <f t="shared" si="4"/>
        <v>34375</v>
      </c>
      <c r="AI24" s="43">
        <f t="shared" si="5"/>
        <v>1.5696347031963471</v>
      </c>
      <c r="AJ24" s="10"/>
      <c r="AK24" s="10"/>
      <c r="AL24" s="10"/>
    </row>
    <row r="25" spans="1:38" x14ac:dyDescent="0.25">
      <c r="A25" s="25" t="s">
        <v>35</v>
      </c>
      <c r="B25" s="24" t="s">
        <v>275</v>
      </c>
      <c r="C25" s="109"/>
      <c r="D25" s="22">
        <f>IFERROR((s_TR/(up_RadSpec!I25*s_EF_iw*s_ED_ind*s_IRS_iw*(1/1000)))*1,".")</f>
        <v>7.272727272727274E-8</v>
      </c>
      <c r="E25" s="22">
        <f>IFERROR(IF(A25="H-3",(s_TR/(up_RadSpec!G25*s_EF_iw*s_ED_ind*(s_ET_iw_o+s_ET_iw_i)*(1/24)*s_IRA_iw*(1/17)*1000))*1,(s_TR/(up_RadSpec!G25*s_EF_iw*s_ED_ind*(s_ET_iw_o+s_ET_iw_i)*(1/24)*s_IRA_iw*(1/s_PEF_wind)*1000))*1),".")</f>
        <v>9.0250320889537203E-5</v>
      </c>
      <c r="F25" s="22">
        <f>IFERROR((s_TR/(up_RadSpec!F25*s_EF_iw*(1/365)*s_ED_ind*up_RadSpec!Q25*(s_ET_iw_o+s_ET_iw_i)*(1/24)*up_RadSpec!AA25))*1,".")</f>
        <v>1.2792990142387737E-4</v>
      </c>
      <c r="G25" s="22">
        <f t="shared" si="0"/>
        <v>7.2627458440391871E-8</v>
      </c>
      <c r="H25" s="43">
        <f t="shared" si="1"/>
        <v>137.5</v>
      </c>
      <c r="I25" s="43">
        <f t="shared" si="2"/>
        <v>0.11080293013295324</v>
      </c>
      <c r="J25" s="43">
        <f>s_C*s_EF_iw*(1/365)*s_ED_ind*(s_ET_iw_o+s_ET_iw_i)*(1/24)*up_RadSpec!AA25*up_RadSpec!Q25*1</f>
        <v>7.8167808219178084E-2</v>
      </c>
      <c r="K25" s="4"/>
      <c r="L25" s="4"/>
      <c r="M25" s="4"/>
      <c r="N25" s="4"/>
      <c r="O25" s="4"/>
      <c r="P25" s="22">
        <f>IFERROR((s_TR/(up_RadSpec!F25*s_EF_iw*(1/365)*s_ED_ind*up_RadSpec!Q25*(s_ET_iw_o+s_ET_iw_i)*(1/24)*up_RadSpec!AA25))*1,".")</f>
        <v>1.2792990142387737E-4</v>
      </c>
      <c r="Q25" s="22">
        <f>IFERROR((s_TR/(up_RadSpec!M25*s_EF_iw*(1/365)*s_ED_ind*up_RadSpec!R25*(s_ET_iw_o+s_ET_iw_i)*(1/24)*up_RadSpec!AB25))*1,".")</f>
        <v>2.2909590638404192E-4</v>
      </c>
      <c r="R25" s="22">
        <f>IFERROR((s_TR/(up_RadSpec!N25*s_EF_iw*(1/365)*s_ED_ind*up_RadSpec!S25*(s_ET_iw_o+s_ET_iw_i)*(1/24)*up_RadSpec!AC25))*1,".")</f>
        <v>1.6433173568005034E-4</v>
      </c>
      <c r="S25" s="22">
        <f>IFERROR((s_TR/(up_RadSpec!O25*s_EF_iw*(1/365)*s_ED_ind*up_RadSpec!T25*(s_ET_iw_o+s_ET_iw_i)*(1/24)*up_RadSpec!AD25))*1,".")</f>
        <v>1.4674410335427284E-4</v>
      </c>
      <c r="T25" s="22">
        <f>IFERROR((s_TR/(up_RadSpec!K25*s_EF_iw*(1/365)*s_ED_ind*up_RadSpec!P25*(s_ET_iw_o+s_ET_iw_i)*(1/24)*up_RadSpec!Z25))*1,".")</f>
        <v>4.1074380165289254E-4</v>
      </c>
      <c r="U25" s="43">
        <f>s_C*s_EF_iw*(1/365)*s_ED_ind*(s_ET_iw_o+s_ET_iw_i)*(1/24)*up_RadSpec!AA25*up_RadSpec!Q25*1</f>
        <v>7.8167808219178084E-2</v>
      </c>
      <c r="V25" s="43">
        <f>s_C*s_EF_iw*(1/365)*s_ED_ind*(s_ET_iw_o+s_ET_iw_i)*(1/24)*up_RadSpec!AB25*up_RadSpec!R25*1</f>
        <v>4.3649841491434742E-2</v>
      </c>
      <c r="W25" s="43">
        <f>s_C*s_EF_iw*(1/365)*s_ED_ind*(s_ET_iw_o+s_ET_iw_i)*(1/24)*up_RadSpec!AC25*up_RadSpec!S25*1</f>
        <v>6.0852518587582775E-2</v>
      </c>
      <c r="X25" s="43">
        <f>s_C*s_EF_iw*(1/365)*s_ED_ind*(s_ET_iw_o+s_ET_iw_i)*(1/24)*up_RadSpec!AD25*up_RadSpec!T25*1</f>
        <v>6.8145838718014995E-2</v>
      </c>
      <c r="Y25" s="43">
        <f>s_C*s_EF_iw*(1/365)*s_ED_ind*(s_ET_iw_o+s_ET_iw_i)*(1/24)*up_RadSpec!Z25*up_RadSpec!P25*1</f>
        <v>2.434607645875252E-2</v>
      </c>
      <c r="Z25" s="11"/>
      <c r="AA25" s="11"/>
      <c r="AB25" s="11"/>
      <c r="AC25" s="11"/>
      <c r="AD25" s="11"/>
      <c r="AE25" s="22">
        <f>IFERROR(s_TR/(up_RadSpec!G25*s_EF_iw*s_ED_ind*(s_ET_iw_o+s_ET_iw_i)*(1/24)*s_IRA_iw),".")</f>
        <v>2.9090909090909094E-10</v>
      </c>
      <c r="AF25" s="22">
        <f>IFERROR(s_TR/(up_RadSpec!J25*s_EF_iw*(1/365)*s_ED_ind*(s_ET_iw_o+s_ET_iw_i)*(1/24)*s_GSF_a),".")</f>
        <v>6.3709090909090908E-6</v>
      </c>
      <c r="AG25" s="22">
        <f t="shared" si="6"/>
        <v>2.9089580799548386E-10</v>
      </c>
      <c r="AH25" s="43">
        <f t="shared" si="4"/>
        <v>34375</v>
      </c>
      <c r="AI25" s="43">
        <f t="shared" si="5"/>
        <v>1.5696347031963471</v>
      </c>
      <c r="AJ25" s="10"/>
      <c r="AK25" s="10"/>
      <c r="AL25" s="10"/>
    </row>
    <row r="26" spans="1:38" x14ac:dyDescent="0.25">
      <c r="A26" s="23" t="s">
        <v>36</v>
      </c>
      <c r="B26" s="24" t="s">
        <v>289</v>
      </c>
      <c r="C26" s="2"/>
      <c r="D26" s="22">
        <f>IFERROR((s_TR/(up_RadSpec!I26*s_EF_iw*s_ED_ind*s_IRS_iw*(1/1000)))*1,".")</f>
        <v>7.272727272727274E-8</v>
      </c>
      <c r="E26" s="22">
        <f>IFERROR(IF(A26="H-3",(s_TR/(up_RadSpec!G26*s_EF_iw*s_ED_ind*(s_ET_iw_o+s_ET_iw_i)*(1/24)*s_IRA_iw*(1/17)*1000))*1,(s_TR/(up_RadSpec!G26*s_EF_iw*s_ED_ind*(s_ET_iw_o+s_ET_iw_i)*(1/24)*s_IRA_iw*(1/s_PEF_wind)*1000))*1),".")</f>
        <v>9.0250320889537203E-5</v>
      </c>
      <c r="F26" s="22">
        <f>IFERROR((s_TR/(up_RadSpec!F26*s_EF_iw*(1/365)*s_ED_ind*up_RadSpec!Q26*(s_ET_iw_o+s_ET_iw_i)*(1/24)*up_RadSpec!AA26))*1,".")</f>
        <v>6.9749536178107571E-4</v>
      </c>
      <c r="G26" s="22">
        <f t="shared" si="0"/>
        <v>7.2661143190402889E-8</v>
      </c>
      <c r="H26" s="43">
        <f t="shared" si="1"/>
        <v>137.5</v>
      </c>
      <c r="I26" s="43">
        <f t="shared" si="2"/>
        <v>0.11080293013295324</v>
      </c>
      <c r="J26" s="43">
        <f>s_C*s_EF_iw*(1/365)*s_ED_ind*(s_ET_iw_o+s_ET_iw_i)*(1/24)*up_RadSpec!AA26*up_RadSpec!Q26*1</f>
        <v>1.433701290065169E-2</v>
      </c>
      <c r="K26" s="4"/>
      <c r="L26" s="4"/>
      <c r="M26" s="4"/>
      <c r="N26" s="4"/>
      <c r="O26" s="4"/>
      <c r="P26" s="22">
        <f>IFERROR((s_TR/(up_RadSpec!F26*s_EF_iw*(1/365)*s_ED_ind*up_RadSpec!Q26*(s_ET_iw_o+s_ET_iw_i)*(1/24)*up_RadSpec!AA26))*1,".")</f>
        <v>6.9749536178107571E-4</v>
      </c>
      <c r="Q26" s="22">
        <f>IFERROR((s_TR/(up_RadSpec!M26*s_EF_iw*(1/365)*s_ED_ind*up_RadSpec!R26*(s_ET_iw_o+s_ET_iw_i)*(1/24)*up_RadSpec!AB26))*1,".")</f>
        <v>1.2734541301074713E-3</v>
      </c>
      <c r="R26" s="22">
        <f>IFERROR((s_TR/(up_RadSpec!N26*s_EF_iw*(1/365)*s_ED_ind*up_RadSpec!S26*(s_ET_iw_o+s_ET_iw_i)*(1/24)*up_RadSpec!AC26))*1,".")</f>
        <v>9.2042870813397121E-4</v>
      </c>
      <c r="S26" s="22">
        <f>IFERROR((s_TR/(up_RadSpec!O26*s_EF_iw*(1/365)*s_ED_ind*up_RadSpec!T26*(s_ET_iw_o+s_ET_iw_i)*(1/24)*up_RadSpec!AD26))*1,".")</f>
        <v>7.8731404958677653E-4</v>
      </c>
      <c r="T26" s="22">
        <f>IFERROR((s_TR/(up_RadSpec!K26*s_EF_iw*(1/365)*s_ED_ind*up_RadSpec!P26*(s_ET_iw_o+s_ET_iw_i)*(1/24)*up_RadSpec!Z26))*1,".")</f>
        <v>7.422374012566158E-3</v>
      </c>
      <c r="U26" s="43">
        <f>s_C*s_EF_iw*(1/365)*s_ED_ind*(s_ET_iw_o+s_ET_iw_i)*(1/24)*up_RadSpec!AA26*up_RadSpec!Q26*1</f>
        <v>1.433701290065169E-2</v>
      </c>
      <c r="V26" s="43">
        <f>s_C*s_EF_iw*(1/365)*s_ED_ind*(s_ET_iw_o+s_ET_iw_i)*(1/24)*up_RadSpec!AB26*up_RadSpec!R26*1</f>
        <v>7.8526581865622953E-3</v>
      </c>
      <c r="W26" s="43">
        <f>s_C*s_EF_iw*(1/365)*s_ED_ind*(s_ET_iw_o+s_ET_iw_i)*(1/24)*up_RadSpec!AC26*up_RadSpec!S26*1</f>
        <v>1.0864502499355411E-2</v>
      </c>
      <c r="X26" s="43">
        <f>s_C*s_EF_iw*(1/365)*s_ED_ind*(s_ET_iw_o+s_ET_iw_i)*(1/24)*up_RadSpec!AD26*up_RadSpec!T26*1</f>
        <v>1.2701411851152058E-2</v>
      </c>
      <c r="Y26" s="43">
        <f>s_C*s_EF_iw*(1/365)*s_ED_ind*(s_ET_iw_o+s_ET_iw_i)*(1/24)*up_RadSpec!Z26*up_RadSpec!P26*1</f>
        <v>1.3472778363189319E-3</v>
      </c>
      <c r="Z26" s="11"/>
      <c r="AA26" s="11"/>
      <c r="AB26" s="11"/>
      <c r="AC26" s="11"/>
      <c r="AD26" s="11"/>
      <c r="AE26" s="22">
        <f>IFERROR(s_TR/(up_RadSpec!G26*s_EF_iw*s_ED_ind*(s_ET_iw_o+s_ET_iw_i)*(1/24)*s_IRA_iw),".")</f>
        <v>2.9090909090909094E-10</v>
      </c>
      <c r="AF26" s="22">
        <f>IFERROR(s_TR/(up_RadSpec!J26*s_EF_iw*(1/365)*s_ED_ind*(s_ET_iw_o+s_ET_iw_i)*(1/24)*s_GSF_a),".")</f>
        <v>6.3709090909090908E-6</v>
      </c>
      <c r="AG26" s="22">
        <f t="shared" si="6"/>
        <v>2.9089580799548386E-10</v>
      </c>
      <c r="AH26" s="43">
        <f t="shared" si="4"/>
        <v>34375</v>
      </c>
      <c r="AI26" s="43">
        <f t="shared" si="5"/>
        <v>1.5696347031963471</v>
      </c>
      <c r="AJ26" s="10"/>
      <c r="AK26" s="10"/>
      <c r="AL26" s="10"/>
    </row>
    <row r="27" spans="1:38" x14ac:dyDescent="0.25">
      <c r="A27" s="23" t="s">
        <v>37</v>
      </c>
      <c r="B27" s="24" t="s">
        <v>289</v>
      </c>
      <c r="C27" s="109"/>
      <c r="D27" s="22">
        <f>IFERROR((s_TR/(up_RadSpec!I27*s_EF_iw*s_ED_ind*s_IRS_iw*(1/1000)))*1,".")</f>
        <v>7.272727272727274E-8</v>
      </c>
      <c r="E27" s="22">
        <f>IFERROR(IF(A27="H-3",(s_TR/(up_RadSpec!G27*s_EF_iw*s_ED_ind*(s_ET_iw_o+s_ET_iw_i)*(1/24)*s_IRA_iw*(1/17)*1000))*1,(s_TR/(up_RadSpec!G27*s_EF_iw*s_ED_ind*(s_ET_iw_o+s_ET_iw_i)*(1/24)*s_IRA_iw*(1/s_PEF_wind)*1000))*1),".")</f>
        <v>9.0250320889537203E-5</v>
      </c>
      <c r="F27" s="22">
        <f>IFERROR((s_TR/(up_RadSpec!F27*s_EF_iw*(1/365)*s_ED_ind*up_RadSpec!Q27*(s_ET_iw_o+s_ET_iw_i)*(1/24)*up_RadSpec!AA27))*1,".")</f>
        <v>1.4695860931941118E-4</v>
      </c>
      <c r="G27" s="22">
        <f t="shared" si="0"/>
        <v>7.2632797635846541E-8</v>
      </c>
      <c r="H27" s="43">
        <f t="shared" si="1"/>
        <v>137.5</v>
      </c>
      <c r="I27" s="43">
        <f t="shared" si="2"/>
        <v>0.11080293013295324</v>
      </c>
      <c r="J27" s="43">
        <f>s_C*s_EF_iw*(1/365)*s_ED_ind*(s_ET_iw_o+s_ET_iw_i)*(1/24)*up_RadSpec!AA27*up_RadSpec!Q27*1</f>
        <v>6.8046370650291274E-2</v>
      </c>
      <c r="K27" s="4"/>
      <c r="L27" s="4"/>
      <c r="M27" s="4"/>
      <c r="N27" s="4"/>
      <c r="O27" s="4"/>
      <c r="P27" s="22">
        <f>IFERROR((s_TR/(up_RadSpec!F27*s_EF_iw*(1/365)*s_ED_ind*up_RadSpec!Q27*(s_ET_iw_o+s_ET_iw_i)*(1/24)*up_RadSpec!AA27))*1,".")</f>
        <v>1.4695860931941118E-4</v>
      </c>
      <c r="Q27" s="22">
        <f>IFERROR((s_TR/(up_RadSpec!M27*s_EF_iw*(1/365)*s_ED_ind*up_RadSpec!R27*(s_ET_iw_o+s_ET_iw_i)*(1/24)*up_RadSpec!AB27))*1,".")</f>
        <v>4.3590430622009597E-4</v>
      </c>
      <c r="R27" s="22">
        <f>IFERROR((s_TR/(up_RadSpec!N27*s_EF_iw*(1/365)*s_ED_ind*up_RadSpec!S27*(s_ET_iw_o+s_ET_iw_i)*(1/24)*up_RadSpec!AC27))*1,".")</f>
        <v>2.6724211815120903E-4</v>
      </c>
      <c r="S27" s="22">
        <f>IFERROR((s_TR/(up_RadSpec!O27*s_EF_iw*(1/365)*s_ED_ind*up_RadSpec!T27*(s_ET_iw_o+s_ET_iw_i)*(1/24)*up_RadSpec!AD27))*1,".")</f>
        <v>1.9440831674408325E-4</v>
      </c>
      <c r="T27" s="22">
        <f>IFERROR((s_TR/(up_RadSpec!K27*s_EF_iw*(1/365)*s_ED_ind*up_RadSpec!P27*(s_ET_iw_o+s_ET_iw_i)*(1/24)*up_RadSpec!Z27))*1,".")</f>
        <v>1.3635010151139188E-3</v>
      </c>
      <c r="U27" s="43">
        <f>s_C*s_EF_iw*(1/365)*s_ED_ind*(s_ET_iw_o+s_ET_iw_i)*(1/24)*up_RadSpec!AA27*up_RadSpec!Q27*1</f>
        <v>6.8046370650291274E-2</v>
      </c>
      <c r="V27" s="43">
        <f>s_C*s_EF_iw*(1/365)*s_ED_ind*(s_ET_iw_o+s_ET_iw_i)*(1/24)*up_RadSpec!AB27*up_RadSpec!R27*1</f>
        <v>2.2940814892869678E-2</v>
      </c>
      <c r="W27" s="43">
        <f>s_C*s_EF_iw*(1/365)*s_ED_ind*(s_ET_iw_o+s_ET_iw_i)*(1/24)*up_RadSpec!AC27*up_RadSpec!S27*1</f>
        <v>3.741925138589821E-2</v>
      </c>
      <c r="X27" s="43">
        <f>s_C*s_EF_iw*(1/365)*s_ED_ind*(s_ET_iw_o+s_ET_iw_i)*(1/24)*up_RadSpec!AD27*up_RadSpec!T27*1</f>
        <v>5.1438128612387918E-2</v>
      </c>
      <c r="Y27" s="43">
        <f>s_C*s_EF_iw*(1/365)*s_ED_ind*(s_ET_iw_o+s_ET_iw_i)*(1/24)*up_RadSpec!Z27*up_RadSpec!P27*1</f>
        <v>7.3340612798623497E-3</v>
      </c>
      <c r="Z27" s="11"/>
      <c r="AA27" s="11"/>
      <c r="AB27" s="11"/>
      <c r="AC27" s="11"/>
      <c r="AD27" s="11"/>
      <c r="AE27" s="22">
        <f>IFERROR(s_TR/(up_RadSpec!G27*s_EF_iw*s_ED_ind*(s_ET_iw_o+s_ET_iw_i)*(1/24)*s_IRA_iw),".")</f>
        <v>2.9090909090909094E-10</v>
      </c>
      <c r="AF27" s="22">
        <f>IFERROR(s_TR/(up_RadSpec!J27*s_EF_iw*(1/365)*s_ED_ind*(s_ET_iw_o+s_ET_iw_i)*(1/24)*s_GSF_a),".")</f>
        <v>6.3709090909090908E-6</v>
      </c>
      <c r="AG27" s="22">
        <f t="shared" si="6"/>
        <v>2.9089580799548386E-10</v>
      </c>
      <c r="AH27" s="43">
        <f t="shared" si="4"/>
        <v>34375</v>
      </c>
      <c r="AI27" s="43">
        <f t="shared" si="5"/>
        <v>1.5696347031963471</v>
      </c>
      <c r="AJ27" s="10"/>
      <c r="AK27" s="10"/>
      <c r="AL27" s="10"/>
    </row>
    <row r="28" spans="1:38" x14ac:dyDescent="0.25">
      <c r="A28" s="23" t="s">
        <v>38</v>
      </c>
      <c r="B28" s="24" t="s">
        <v>289</v>
      </c>
      <c r="C28" s="2"/>
      <c r="D28" s="22">
        <f>IFERROR((s_TR/(up_RadSpec!I28*s_EF_iw*s_ED_ind*s_IRS_iw*(1/1000)))*1,".")</f>
        <v>7.272727272727274E-8</v>
      </c>
      <c r="E28" s="22">
        <f>IFERROR(IF(A28="H-3",(s_TR/(up_RadSpec!G28*s_EF_iw*s_ED_ind*(s_ET_iw_o+s_ET_iw_i)*(1/24)*s_IRA_iw*(1/17)*1000))*1,(s_TR/(up_RadSpec!G28*s_EF_iw*s_ED_ind*(s_ET_iw_o+s_ET_iw_i)*(1/24)*s_IRA_iw*(1/s_PEF_wind)*1000))*1),".")</f>
        <v>9.0250320889537203E-5</v>
      </c>
      <c r="F28" s="22">
        <f>IFERROR((s_TR/(up_RadSpec!F28*s_EF_iw*(1/365)*s_ED_ind*up_RadSpec!Q28*(s_ET_iw_o+s_ET_iw_i)*(1/24)*up_RadSpec!AA28))*1,".")</f>
        <v>6.5030510890383512E-5</v>
      </c>
      <c r="G28" s="22">
        <f t="shared" si="0"/>
        <v>7.2587599982687738E-8</v>
      </c>
      <c r="H28" s="43">
        <f t="shared" si="1"/>
        <v>137.5</v>
      </c>
      <c r="I28" s="43">
        <f t="shared" si="2"/>
        <v>0.11080293013295324</v>
      </c>
      <c r="J28" s="43">
        <f>s_C*s_EF_iw*(1/365)*s_ED_ind*(s_ET_iw_o+s_ET_iw_i)*(1/24)*up_RadSpec!AA28*up_RadSpec!Q28*1</f>
        <v>0.15377397260273976</v>
      </c>
      <c r="K28" s="4"/>
      <c r="L28" s="4"/>
      <c r="M28" s="4"/>
      <c r="N28" s="4"/>
      <c r="O28" s="4"/>
      <c r="P28" s="22">
        <f>IFERROR((s_TR/(up_RadSpec!F28*s_EF_iw*(1/365)*s_ED_ind*up_RadSpec!Q28*(s_ET_iw_o+s_ET_iw_i)*(1/24)*up_RadSpec!AA28))*1,".")</f>
        <v>6.5030510890383512E-5</v>
      </c>
      <c r="Q28" s="22">
        <f>IFERROR((s_TR/(up_RadSpec!M28*s_EF_iw*(1/365)*s_ED_ind*up_RadSpec!R28*(s_ET_iw_o+s_ET_iw_i)*(1/24)*up_RadSpec!AB28))*1,".")</f>
        <v>1.4500895348352981E-4</v>
      </c>
      <c r="R28" s="22">
        <f>IFERROR((s_TR/(up_RadSpec!N28*s_EF_iw*(1/365)*s_ED_ind*up_RadSpec!S28*(s_ET_iw_o+s_ET_iw_i)*(1/24)*up_RadSpec!AC28))*1,".")</f>
        <v>1.006780829789679E-4</v>
      </c>
      <c r="S28" s="22">
        <f>IFERROR((s_TR/(up_RadSpec!O28*s_EF_iw*(1/365)*s_ED_ind*up_RadSpec!T28*(s_ET_iw_o+s_ET_iw_i)*(1/24)*up_RadSpec!AD28))*1,".")</f>
        <v>8.7167367843424138E-5</v>
      </c>
      <c r="T28" s="22">
        <f>IFERROR((s_TR/(up_RadSpec!K28*s_EF_iw*(1/365)*s_ED_ind*up_RadSpec!P28*(s_ET_iw_o+s_ET_iw_i)*(1/24)*up_RadSpec!Z28))*1,".")</f>
        <v>2.5492063492063506E-4</v>
      </c>
      <c r="U28" s="43">
        <f>s_C*s_EF_iw*(1/365)*s_ED_ind*(s_ET_iw_o+s_ET_iw_i)*(1/24)*up_RadSpec!AA28*up_RadSpec!Q28*1</f>
        <v>0.15377397260273976</v>
      </c>
      <c r="V28" s="43">
        <f>s_C*s_EF_iw*(1/365)*s_ED_ind*(s_ET_iw_o+s_ET_iw_i)*(1/24)*up_RadSpec!AB28*up_RadSpec!R28*1</f>
        <v>6.8961259010367301E-2</v>
      </c>
      <c r="W28" s="43">
        <f>s_C*s_EF_iw*(1/365)*s_ED_ind*(s_ET_iw_o+s_ET_iw_i)*(1/24)*up_RadSpec!AC28*up_RadSpec!S28*1</f>
        <v>9.9326484018264896E-2</v>
      </c>
      <c r="X28" s="43">
        <f>s_C*s_EF_iw*(1/365)*s_ED_ind*(s_ET_iw_o+s_ET_iw_i)*(1/24)*up_RadSpec!AD28*up_RadSpec!T28*1</f>
        <v>0.1147218305130272</v>
      </c>
      <c r="Y28" s="43">
        <f>s_C*s_EF_iw*(1/365)*s_ED_ind*(s_ET_iw_o+s_ET_iw_i)*(1/24)*up_RadSpec!Z28*up_RadSpec!P28*1</f>
        <v>3.9227895392278937E-2</v>
      </c>
      <c r="Z28" s="11"/>
      <c r="AA28" s="11"/>
      <c r="AB28" s="11"/>
      <c r="AC28" s="11"/>
      <c r="AD28" s="11"/>
      <c r="AE28" s="22">
        <f>IFERROR(s_TR/(up_RadSpec!G28*s_EF_iw*s_ED_ind*(s_ET_iw_o+s_ET_iw_i)*(1/24)*s_IRA_iw),".")</f>
        <v>2.9090909090909094E-10</v>
      </c>
      <c r="AF28" s="22">
        <f>IFERROR(s_TR/(up_RadSpec!J28*s_EF_iw*(1/365)*s_ED_ind*(s_ET_iw_o+s_ET_iw_i)*(1/24)*s_GSF_a),".")</f>
        <v>6.3709090909090908E-6</v>
      </c>
      <c r="AG28" s="22">
        <f t="shared" si="6"/>
        <v>2.9089580799548386E-10</v>
      </c>
      <c r="AH28" s="43">
        <f t="shared" si="4"/>
        <v>34375</v>
      </c>
      <c r="AI28" s="43">
        <f t="shared" si="5"/>
        <v>1.5696347031963471</v>
      </c>
      <c r="AJ28" s="10"/>
      <c r="AK28" s="10"/>
      <c r="AL28" s="10"/>
    </row>
    <row r="29" spans="1:38" x14ac:dyDescent="0.25">
      <c r="A29" s="23" t="s">
        <v>39</v>
      </c>
      <c r="B29" s="24" t="s">
        <v>289</v>
      </c>
      <c r="C29" s="109"/>
      <c r="D29" s="22">
        <f>IFERROR((s_TR/(up_RadSpec!I29*s_EF_iw*s_ED_ind*s_IRS_iw*(1/1000)))*1,".")</f>
        <v>7.272727272727274E-8</v>
      </c>
      <c r="E29" s="22">
        <f>IFERROR(IF(A29="H-3",(s_TR/(up_RadSpec!G29*s_EF_iw*s_ED_ind*(s_ET_iw_o+s_ET_iw_i)*(1/24)*s_IRA_iw*(1/17)*1000))*1,(s_TR/(up_RadSpec!G29*s_EF_iw*s_ED_ind*(s_ET_iw_o+s_ET_iw_i)*(1/24)*s_IRA_iw*(1/s_PEF_wind)*1000))*1),".")</f>
        <v>9.0250320889537203E-5</v>
      </c>
      <c r="F29" s="22">
        <f>IFERROR((s_TR/(up_RadSpec!F29*s_EF_iw*(1/365)*s_ED_ind*up_RadSpec!Q29*(s_ET_iw_o+s_ET_iw_i)*(1/24)*up_RadSpec!AA29))*1,".")</f>
        <v>7.0715350223546984E-5</v>
      </c>
      <c r="G29" s="22">
        <f t="shared" si="0"/>
        <v>7.2594114034057406E-8</v>
      </c>
      <c r="H29" s="43">
        <f t="shared" si="1"/>
        <v>137.5</v>
      </c>
      <c r="I29" s="43">
        <f t="shared" si="2"/>
        <v>0.11080293013295324</v>
      </c>
      <c r="J29" s="43">
        <f>s_C*s_EF_iw*(1/365)*s_ED_ind*(s_ET_iw_o+s_ET_iw_i)*(1/24)*up_RadSpec!AA29*up_RadSpec!Q29*1</f>
        <v>0.14141201264488931</v>
      </c>
      <c r="K29" s="4"/>
      <c r="L29" s="4"/>
      <c r="M29" s="4"/>
      <c r="N29" s="4"/>
      <c r="O29" s="4"/>
      <c r="P29" s="22">
        <f>IFERROR((s_TR/(up_RadSpec!F29*s_EF_iw*(1/365)*s_ED_ind*up_RadSpec!Q29*(s_ET_iw_o+s_ET_iw_i)*(1/24)*up_RadSpec!AA29))*1,".")</f>
        <v>7.0715350223546984E-5</v>
      </c>
      <c r="Q29" s="22">
        <f>IFERROR((s_TR/(up_RadSpec!M29*s_EF_iw*(1/365)*s_ED_ind*up_RadSpec!R29*(s_ET_iw_o+s_ET_iw_i)*(1/24)*up_RadSpec!AB29))*1,".")</f>
        <v>1.411100478468899E-4</v>
      </c>
      <c r="R29" s="22">
        <f>IFERROR((s_TR/(up_RadSpec!N29*s_EF_iw*(1/365)*s_ED_ind*up_RadSpec!S29*(s_ET_iw_o+s_ET_iw_i)*(1/24)*up_RadSpec!AC29))*1,".")</f>
        <v>1.0052619793999105E-4</v>
      </c>
      <c r="S29" s="22">
        <f>IFERROR((s_TR/(up_RadSpec!O29*s_EF_iw*(1/365)*s_ED_ind*up_RadSpec!T29*(s_ET_iw_o+s_ET_iw_i)*(1/24)*up_RadSpec!AD29))*1,".")</f>
        <v>8.527216783216778E-5</v>
      </c>
      <c r="T29" s="22">
        <f>IFERROR((s_TR/(up_RadSpec!K29*s_EF_iw*(1/365)*s_ED_ind*up_RadSpec!P29*(s_ET_iw_o+s_ET_iw_i)*(1/24)*up_RadSpec!Z29))*1,".")</f>
        <v>2.5338842975206613E-4</v>
      </c>
      <c r="U29" s="43">
        <f>s_C*s_EF_iw*(1/365)*s_ED_ind*(s_ET_iw_o+s_ET_iw_i)*(1/24)*up_RadSpec!AA29*up_RadSpec!Q29*1</f>
        <v>0.14141201264488931</v>
      </c>
      <c r="V29" s="43">
        <f>s_C*s_EF_iw*(1/365)*s_ED_ind*(s_ET_iw_o+s_ET_iw_i)*(1/24)*up_RadSpec!AB29*up_RadSpec!R29*1</f>
        <v>7.0866675708666796E-2</v>
      </c>
      <c r="W29" s="43">
        <f>s_C*s_EF_iw*(1/365)*s_ED_ind*(s_ET_iw_o+s_ET_iw_i)*(1/24)*up_RadSpec!AC29*up_RadSpec!S29*1</f>
        <v>9.947655640939973E-2</v>
      </c>
      <c r="X29" s="43">
        <f>s_C*s_EF_iw*(1/365)*s_ED_ind*(s_ET_iw_o+s_ET_iw_i)*(1/24)*up_RadSpec!AD29*up_RadSpec!T29*1</f>
        <v>0.11727155828478464</v>
      </c>
      <c r="Y29" s="43">
        <f>s_C*s_EF_iw*(1/365)*s_ED_ind*(s_ET_iw_o+s_ET_iw_i)*(1/24)*up_RadSpec!Z29*up_RadSpec!P29*1</f>
        <v>3.946510110893673E-2</v>
      </c>
      <c r="Z29" s="11"/>
      <c r="AA29" s="11"/>
      <c r="AB29" s="11"/>
      <c r="AC29" s="11"/>
      <c r="AD29" s="11"/>
      <c r="AE29" s="22">
        <f>IFERROR(s_TR/(up_RadSpec!G29*s_EF_iw*s_ED_ind*(s_ET_iw_o+s_ET_iw_i)*(1/24)*s_IRA_iw),".")</f>
        <v>2.9090909090909094E-10</v>
      </c>
      <c r="AF29" s="22">
        <f>IFERROR(s_TR/(up_RadSpec!J29*s_EF_iw*(1/365)*s_ED_ind*(s_ET_iw_o+s_ET_iw_i)*(1/24)*s_GSF_a),".")</f>
        <v>6.3709090909090908E-6</v>
      </c>
      <c r="AG29" s="22">
        <f t="shared" si="6"/>
        <v>2.9089580799548386E-10</v>
      </c>
      <c r="AH29" s="43">
        <f t="shared" si="4"/>
        <v>34375</v>
      </c>
      <c r="AI29" s="43">
        <f t="shared" si="5"/>
        <v>1.5696347031963471</v>
      </c>
      <c r="AJ29" s="10"/>
      <c r="AK29" s="10"/>
      <c r="AL29" s="10"/>
    </row>
    <row r="30" spans="1:38" x14ac:dyDescent="0.25">
      <c r="A30" s="23" t="s">
        <v>40</v>
      </c>
      <c r="B30" s="24" t="s">
        <v>289</v>
      </c>
      <c r="C30" s="2"/>
      <c r="D30" s="22">
        <f>IFERROR((s_TR/(up_RadSpec!I30*s_EF_iw*s_ED_ind*s_IRS_iw*(1/1000)))*1,".")</f>
        <v>7.272727272727274E-8</v>
      </c>
      <c r="E30" s="22">
        <f>IFERROR(IF(A30="H-3",(s_TR/(up_RadSpec!G30*s_EF_iw*s_ED_ind*(s_ET_iw_o+s_ET_iw_i)*(1/24)*s_IRA_iw*(1/17)*1000))*1,(s_TR/(up_RadSpec!G30*s_EF_iw*s_ED_ind*(s_ET_iw_o+s_ET_iw_i)*(1/24)*s_IRA_iw*(1/s_PEF_wind)*1000))*1),".")</f>
        <v>9.0250320889537203E-5</v>
      </c>
      <c r="F30" s="22">
        <f>IFERROR((s_TR/(up_RadSpec!F30*s_EF_iw*(1/365)*s_ED_ind*up_RadSpec!Q30*(s_ET_iw_o+s_ET_iw_i)*(1/24)*up_RadSpec!AA30))*1,".")</f>
        <v>6.6363636363636364E-4</v>
      </c>
      <c r="G30" s="22">
        <f t="shared" si="0"/>
        <v>7.2660756997090266E-8</v>
      </c>
      <c r="H30" s="43">
        <f t="shared" si="1"/>
        <v>137.5</v>
      </c>
      <c r="I30" s="43">
        <f t="shared" si="2"/>
        <v>0.11080293013295324</v>
      </c>
      <c r="J30" s="43">
        <f>s_C*s_EF_iw*(1/365)*s_ED_ind*(s_ET_iw_o+s_ET_iw_i)*(1/24)*up_RadSpec!AA30*up_RadSpec!Q30*1</f>
        <v>1.5068493150684934E-2</v>
      </c>
      <c r="K30" s="4"/>
      <c r="L30" s="4"/>
      <c r="M30" s="4"/>
      <c r="N30" s="4"/>
      <c r="O30" s="4"/>
      <c r="P30" s="22">
        <f>IFERROR((s_TR/(up_RadSpec!F30*s_EF_iw*(1/365)*s_ED_ind*up_RadSpec!Q30*(s_ET_iw_o+s_ET_iw_i)*(1/24)*up_RadSpec!AA30))*1,".")</f>
        <v>6.6363636363636364E-4</v>
      </c>
      <c r="Q30" s="22">
        <f>IFERROR((s_TR/(up_RadSpec!M30*s_EF_iw*(1/365)*s_ED_ind*up_RadSpec!R30*(s_ET_iw_o+s_ET_iw_i)*(1/24)*up_RadSpec!AB30))*1,".")</f>
        <v>3.2511340206185565E-3</v>
      </c>
      <c r="R30" s="22">
        <f>IFERROR((s_TR/(up_RadSpec!N30*s_EF_iw*(1/365)*s_ED_ind*up_RadSpec!S30*(s_ET_iw_o+s_ET_iw_i)*(1/24)*up_RadSpec!AC30))*1,".")</f>
        <v>1.1715982880755604E-3</v>
      </c>
      <c r="S30" s="22">
        <f>IFERROR((s_TR/(up_RadSpec!O30*s_EF_iw*(1/365)*s_ED_ind*up_RadSpec!T30*(s_ET_iw_o+s_ET_iw_i)*(1/24)*up_RadSpec!AD30))*1,".")</f>
        <v>8.7207902454082466E-4</v>
      </c>
      <c r="T30" s="22">
        <f>IFERROR((s_TR/(up_RadSpec!K30*s_EF_iw*(1/365)*s_ED_ind*up_RadSpec!P30*(s_ET_iw_o+s_ET_iw_i)*(1/24)*up_RadSpec!Z30))*1,".")</f>
        <v>7.963636363636363E-2</v>
      </c>
      <c r="U30" s="43">
        <f>s_C*s_EF_iw*(1/365)*s_ED_ind*(s_ET_iw_o+s_ET_iw_i)*(1/24)*up_RadSpec!AA30*up_RadSpec!Q30*1</f>
        <v>1.5068493150684934E-2</v>
      </c>
      <c r="V30" s="43">
        <f>s_C*s_EF_iw*(1/365)*s_ED_ind*(s_ET_iw_o+s_ET_iw_i)*(1/24)*up_RadSpec!AB30*up_RadSpec!R30*1</f>
        <v>3.0758498224251656E-3</v>
      </c>
      <c r="W30" s="43">
        <f>s_C*s_EF_iw*(1/365)*s_ED_ind*(s_ET_iw_o+s_ET_iw_i)*(1/24)*up_RadSpec!AC30*up_RadSpec!S30*1</f>
        <v>8.5353487639741824E-3</v>
      </c>
      <c r="X30" s="43">
        <f>s_C*s_EF_iw*(1/365)*s_ED_ind*(s_ET_iw_o+s_ET_iw_i)*(1/24)*up_RadSpec!AD30*up_RadSpec!T30*1</f>
        <v>1.1466850730947572E-2</v>
      </c>
      <c r="Y30" s="43">
        <f>s_C*s_EF_iw*(1/365)*s_ED_ind*(s_ET_iw_o+s_ET_iw_i)*(1/24)*up_RadSpec!Z30*up_RadSpec!P30*1</f>
        <v>1.2557077625570778E-4</v>
      </c>
      <c r="Z30" s="11"/>
      <c r="AA30" s="11"/>
      <c r="AB30" s="11"/>
      <c r="AC30" s="11"/>
      <c r="AD30" s="11"/>
      <c r="AE30" s="22">
        <f>IFERROR(s_TR/(up_RadSpec!G30*s_EF_iw*s_ED_ind*(s_ET_iw_o+s_ET_iw_i)*(1/24)*s_IRA_iw),".")</f>
        <v>2.9090909090909094E-10</v>
      </c>
      <c r="AF30" s="22">
        <f>IFERROR(s_TR/(up_RadSpec!J30*s_EF_iw*(1/365)*s_ED_ind*(s_ET_iw_o+s_ET_iw_i)*(1/24)*s_GSF_a),".")</f>
        <v>6.3709090909090908E-6</v>
      </c>
      <c r="AG30" s="22">
        <f t="shared" si="6"/>
        <v>2.9089580799548386E-10</v>
      </c>
      <c r="AH30" s="43">
        <f t="shared" si="4"/>
        <v>34375</v>
      </c>
      <c r="AI30" s="43">
        <f t="shared" si="5"/>
        <v>1.5696347031963471</v>
      </c>
      <c r="AJ30" s="10"/>
      <c r="AK30" s="10"/>
      <c r="AL30" s="10"/>
    </row>
    <row r="31" spans="1:38" x14ac:dyDescent="0.25">
      <c r="A31" s="26" t="s">
        <v>13</v>
      </c>
      <c r="B31" s="26" t="s">
        <v>289</v>
      </c>
      <c r="C31" s="110"/>
      <c r="D31" s="27">
        <f>1/SUM(1/D32,1/D33,1/D34,1/D35,1/D36,1/D37,1/D38,1/D39,1/D40,1/D41,1/D42,1/D43,1/D44)</f>
        <v>6.0607878842425897E-9</v>
      </c>
      <c r="E31" s="27">
        <f t="shared" ref="E31:G31" si="7">1/SUM(1/E32,1/E33,1/E34,1/E35,1/E36,1/E37,1/E38,1/E39,1/E40,1/E41,1/E42,1/E43,1/E44)</f>
        <v>7.5210857066993023E-6</v>
      </c>
      <c r="F31" s="27">
        <f>1/SUM(1/F32,1/F33,1/F34,1/F35,1/F36,1/F37,1/F38,1/F39,1/F40,1/F41,1/F42,1/F43)</f>
        <v>2.6983190003337898E-5</v>
      </c>
      <c r="G31" s="28">
        <f t="shared" si="7"/>
        <v>6.0545489563498284E-9</v>
      </c>
      <c r="H31" s="45"/>
      <c r="I31" s="45"/>
      <c r="J31" s="45"/>
      <c r="K31" s="46">
        <f>IFERROR(IF(SUM(H32:H44)&gt;0.01,1-EXP(-SUM(H32:H44)),SUM(H32:H44)),".")</f>
        <v>1</v>
      </c>
      <c r="L31" s="46">
        <f>IFERROR(IF(SUM(I32:I44)&gt;0.01,1-EXP(-SUM(I32:I44)),SUM(I32:I44)),".")</f>
        <v>0.99870335661177012</v>
      </c>
      <c r="M31" s="46">
        <f>IFERROR(IF(SUM(J32:J44)&gt;0.01,1-EXP(-SUM(J32:J44)),SUM(J32:J44)),".")</f>
        <v>0.84323470353601315</v>
      </c>
      <c r="N31" s="46">
        <f>IFERROR(IF(SUM(H32:J44)&gt;0.01,1-EXP(-SUM(H32:J44)),SUM(H32:J44)),".")</f>
        <v>1</v>
      </c>
      <c r="O31" s="46"/>
      <c r="P31" s="27">
        <f t="shared" ref="P31:T31" si="8">1/SUM(1/P32,1/P33,1/P34,1/P35,1/P36,1/P37,1/P38,1/P39,1/P40,1/P41,1/P42,1/P43)</f>
        <v>2.6983190003337898E-5</v>
      </c>
      <c r="Q31" s="27">
        <f t="shared" si="8"/>
        <v>4.9866033517483622E-5</v>
      </c>
      <c r="R31" s="27">
        <f t="shared" si="8"/>
        <v>3.5232953224810091E-5</v>
      </c>
      <c r="S31" s="27">
        <f t="shared" si="8"/>
        <v>3.060750285877466E-5</v>
      </c>
      <c r="T31" s="27">
        <f t="shared" si="8"/>
        <v>1.0534631925140106E-4</v>
      </c>
      <c r="U31" s="45"/>
      <c r="V31" s="37"/>
      <c r="W31" s="37"/>
      <c r="X31" s="37"/>
      <c r="Y31" s="37"/>
      <c r="Z31" s="46">
        <f>IFERROR(IF(SUM(U32:U44)&gt;0.01,1-EXP(-SUM(U32:U44)),SUM(U32:U44)),".")</f>
        <v>0.84323470353601315</v>
      </c>
      <c r="AA31" s="46">
        <f t="shared" ref="AA31:AD31" si="9">IFERROR(IF(SUM(V32:V44)&gt;0.01,1-EXP(-SUM(V32:V44)),SUM(V32:V44)),".")</f>
        <v>0.63310755076938197</v>
      </c>
      <c r="AB31" s="46">
        <f t="shared" si="9"/>
        <v>0.75807463285581966</v>
      </c>
      <c r="AC31" s="46">
        <f t="shared" si="9"/>
        <v>0.80477184655093115</v>
      </c>
      <c r="AD31" s="46">
        <f t="shared" si="9"/>
        <v>0.37788171195394327</v>
      </c>
      <c r="AE31" s="27">
        <f t="shared" ref="AE31:AG31" si="10">1/SUM(1/AE32,1/AE33,1/AE34,1/AE35,1/AE36,1/AE37,1/AE38,1/AE39,1/AE40,1/AE41,1/AE42,1/AE43,1/AE44)</f>
        <v>2.4243151536970355E-11</v>
      </c>
      <c r="AF31" s="27">
        <f t="shared" si="10"/>
        <v>5.3092501865965061E-7</v>
      </c>
      <c r="AG31" s="28">
        <f t="shared" si="10"/>
        <v>2.4242044594294818E-11</v>
      </c>
      <c r="AH31" s="45"/>
      <c r="AI31" s="45"/>
      <c r="AJ31" s="46">
        <f>IFERROR(IF(SUM(AH32:AH44)&gt;0.01,1-EXP(-SUM(AH32:AH44)),SUM(AH32:AH44)),".")</f>
        <v>1</v>
      </c>
      <c r="AK31" s="46">
        <f>IFERROR(IF(SUM(AI32:AI44)&gt;0.01,1-EXP(-SUM(AI32:AI44)),SUM(AI32:AI44)),".")</f>
        <v>1</v>
      </c>
      <c r="AL31" s="46">
        <f>IFERROR(IF(SUM(AH32:AI44)&gt;0.01,1-EXP(-SUM(AH32:AI44)),SUM(AH32:AI44)),".")</f>
        <v>1</v>
      </c>
    </row>
    <row r="32" spans="1:38" x14ac:dyDescent="0.25">
      <c r="A32" s="29" t="s">
        <v>290</v>
      </c>
      <c r="B32" s="24">
        <v>1</v>
      </c>
      <c r="C32" s="2"/>
      <c r="D32" s="30">
        <f>IFERROR(D3/$B32,0)</f>
        <v>7.272727272727274E-8</v>
      </c>
      <c r="E32" s="30">
        <f>IFERROR(E3/$B32,0)</f>
        <v>9.0250320889537203E-5</v>
      </c>
      <c r="F32" s="30">
        <f>IFERROR(F3/$B32,0)</f>
        <v>5.5461038961038996E-2</v>
      </c>
      <c r="G32" s="30">
        <f>IF(AND(D32&lt;&gt;0,E32&lt;&gt;0,F32&lt;&gt;0),1/((1/D32)+(1/E32)+(1/F32)),IF(AND(D32&lt;&gt;0,E32&lt;&gt;0,F32=0), 1/((1/D32)+(1/E32)),IF(AND(D32&lt;&gt;0,E32=0,F32&lt;&gt;0),1/((1/D32)+(1/F32)),IF(AND(D32=0,E32&lt;&gt;0,F32&lt;&gt;0),1/((1/E32)+(1/F32)),IF(AND(D32&lt;&gt;0,E32=0,F32=0),1/((1/D32)),IF(AND(D32=0,E32&lt;&gt;0,F32=0),1/((1/E32)),IF(AND(D32=0,E32=0,F32&lt;&gt;0),1/((1/F32)),IF(AND(D32=0,E32=0,F32=0),0))))))))</f>
        <v>7.2668618192965267E-8</v>
      </c>
      <c r="H32" s="38">
        <f>IFERROR(up_RadSpec!$I$3*H3,".")*$B$32</f>
        <v>687.5</v>
      </c>
      <c r="I32" s="38">
        <f>IFERROR(up_RadSpec!$G$3*I3,".")*$B$32</f>
        <v>0.55401465066476618</v>
      </c>
      <c r="J32" s="38">
        <f>IFERROR(up_RadSpec!$F$3*J3,".")*$B$32</f>
        <v>9.0153377824610671E-4</v>
      </c>
      <c r="K32" s="47">
        <f t="shared" ref="K32:M44" si="11">IFERROR(IF(H32&gt;0.01,1-EXP(-H32),H32),".")</f>
        <v>1</v>
      </c>
      <c r="L32" s="47">
        <f t="shared" si="11"/>
        <v>0.42536179830386023</v>
      </c>
      <c r="M32" s="47">
        <f t="shared" si="11"/>
        <v>9.0153377824610671E-4</v>
      </c>
      <c r="N32" s="47">
        <f>IFERROR(IF(SUM(H32:J32)&gt;0.01,1-EXP(-SUM(H32:J32)),SUM(H32:J32)),".")</f>
        <v>1</v>
      </c>
      <c r="O32" s="47"/>
      <c r="P32" s="30">
        <f t="shared" ref="P32:T32" si="12">IFERROR(P3/$B32,0)</f>
        <v>5.5461038961038996E-2</v>
      </c>
      <c r="Q32" s="30">
        <f t="shared" si="12"/>
        <v>7.7765437830810691E-2</v>
      </c>
      <c r="R32" s="30">
        <f t="shared" si="12"/>
        <v>5.8957307885484693E-2</v>
      </c>
      <c r="S32" s="30">
        <f t="shared" si="12"/>
        <v>6.0774208842005434E-2</v>
      </c>
      <c r="T32" s="30">
        <f t="shared" si="12"/>
        <v>0.12057046357486606</v>
      </c>
      <c r="U32" s="38">
        <f>IFERROR(up_RadSpec!$F$3*U3,".")*$B$32</f>
        <v>9.0153377824610671E-4</v>
      </c>
      <c r="V32" s="38">
        <f>IFERROR(up_RadSpec!$M$3*V3,".")*$B$32</f>
        <v>6.4295915248084676E-4</v>
      </c>
      <c r="W32" s="38">
        <f>IFERROR(up_RadSpec!$N$3*W3,".")*$B$32</f>
        <v>8.4807128739862328E-4</v>
      </c>
      <c r="X32" s="38">
        <f>IFERROR(up_RadSpec!$O$3*X3,".")*$B$32</f>
        <v>8.2271741504665063E-4</v>
      </c>
      <c r="Y32" s="38">
        <f>IFERROR(up_RadSpec!$K$3*Y3,".")*$B$32</f>
        <v>4.146952621522716E-4</v>
      </c>
      <c r="Z32" s="47">
        <f>IFERROR(IF(U32&gt;0.01,1-EXP(-U32),U32),".")</f>
        <v>9.0153377824610671E-4</v>
      </c>
      <c r="AA32" s="47">
        <f t="shared" ref="AA32:AD44" si="13">IFERROR(IF(V32&gt;0.01,1-EXP(-V32),V32),".")</f>
        <v>6.4295915248084676E-4</v>
      </c>
      <c r="AB32" s="47">
        <f t="shared" si="13"/>
        <v>8.4807128739862328E-4</v>
      </c>
      <c r="AC32" s="47">
        <f t="shared" si="13"/>
        <v>8.2271741504665063E-4</v>
      </c>
      <c r="AD32" s="47">
        <f t="shared" si="13"/>
        <v>4.146952621522716E-4</v>
      </c>
      <c r="AE32" s="30">
        <f t="shared" ref="AE32:AG32" si="14">IFERROR(AE3/$B32,0)</f>
        <v>2.9090909090909094E-10</v>
      </c>
      <c r="AF32" s="30">
        <f t="shared" si="14"/>
        <v>6.3709090909090908E-6</v>
      </c>
      <c r="AG32" s="30">
        <f t="shared" si="14"/>
        <v>2.9089580799548386E-10</v>
      </c>
      <c r="AH32" s="38">
        <f>IFERROR(up_RadSpec!$G$3*AH3,".")*$B$32</f>
        <v>171875</v>
      </c>
      <c r="AI32" s="38">
        <f>IFERROR(up_RadSpec!$J$3*AI3,".")*$B$32</f>
        <v>7.8481735159817356</v>
      </c>
      <c r="AJ32" s="47">
        <f>IFERROR(IF(AH32&gt;0.01,1-EXP(-AH32),AH32),".")</f>
        <v>1</v>
      </c>
      <c r="AK32" s="47">
        <f>IFERROR(IF(AI32&gt;0.01,1-EXP(-AI32),AI32),".")</f>
        <v>0.99960953550549536</v>
      </c>
      <c r="AL32" s="47">
        <f>IFERROR(IF(SUM(AH32:AI32)&gt;0.01,1-EXP(-SUM(AH32:AI32)),SUM(AH32:AI32)),".")</f>
        <v>1</v>
      </c>
    </row>
    <row r="33" spans="1:38" x14ac:dyDescent="0.25">
      <c r="A33" s="29" t="s">
        <v>291</v>
      </c>
      <c r="B33" s="24">
        <v>1</v>
      </c>
      <c r="C33" s="2"/>
      <c r="D33" s="30">
        <f t="shared" ref="D33:F34" si="15">IFERROR(D13/$B33,0)</f>
        <v>7.272727272727274E-8</v>
      </c>
      <c r="E33" s="30">
        <f t="shared" si="15"/>
        <v>9.0250320889537203E-5</v>
      </c>
      <c r="F33" s="30">
        <f t="shared" si="15"/>
        <v>1.3697654511213842E-3</v>
      </c>
      <c r="G33" s="30">
        <f>IF(AND(D33&lt;&gt;0,E33&lt;&gt;0,F33&lt;&gt;0),1/((1/D33)+(1/E33)+(1/F33)),IF(AND(D33&lt;&gt;0,E33&lt;&gt;0,F33=0), 1/((1/D33)+(1/E33)),IF(AND(D33&lt;&gt;0,E33=0,F33&lt;&gt;0),1/((1/D33)+(1/F33)),IF(AND(D33=0,E33&lt;&gt;0,F33&lt;&gt;0),1/((1/E33)+(1/F33)),IF(AND(D33&lt;&gt;0,E33=0,F33=0),1/((1/D33)),IF(AND(D33=0,E33&lt;&gt;0,F33=0),1/((1/E33)),IF(AND(D33=0,E33=0,F33&lt;&gt;0),1/((1/F33)),IF(AND(D33=0,E33=0,F33=0),0))))))))</f>
        <v>7.2664858396536195E-8</v>
      </c>
      <c r="H33" s="38">
        <f>IFERROR(up_RadSpec!$I$13*H13,".")*$B$33</f>
        <v>687.5</v>
      </c>
      <c r="I33" s="38">
        <f>IFERROR(up_RadSpec!$G$13*I13,".")*$B$33</f>
        <v>0.55401465066476618</v>
      </c>
      <c r="J33" s="38">
        <f>IFERROR(up_RadSpec!$F$13*J13,".")*$B$33</f>
        <v>3.6502599740025975E-2</v>
      </c>
      <c r="K33" s="47">
        <f t="shared" si="11"/>
        <v>1</v>
      </c>
      <c r="L33" s="47">
        <f t="shared" si="11"/>
        <v>0.42536179830386023</v>
      </c>
      <c r="M33" s="47">
        <f t="shared" si="11"/>
        <v>3.5844412660805847E-2</v>
      </c>
      <c r="N33" s="47">
        <f t="shared" ref="N33:N44" si="16">IFERROR(IF(SUM(H33:J33)&gt;0.01,1-EXP(-SUM(H33:J33)),SUM(H33:J33)),".")</f>
        <v>1</v>
      </c>
      <c r="O33" s="47"/>
      <c r="P33" s="30">
        <f t="shared" ref="P33:T33" si="17">IFERROR(P13/$B33,0)</f>
        <v>1.3697654511213842E-3</v>
      </c>
      <c r="Q33" s="30">
        <f t="shared" si="17"/>
        <v>2.9871580933033453E-3</v>
      </c>
      <c r="R33" s="30">
        <f t="shared" si="17"/>
        <v>1.7746494798733601E-3</v>
      </c>
      <c r="S33" s="30">
        <f t="shared" si="17"/>
        <v>1.4650070542124524E-3</v>
      </c>
      <c r="T33" s="30">
        <f t="shared" si="17"/>
        <v>2.8737824675324666E-2</v>
      </c>
      <c r="U33" s="38">
        <f>IFERROR(up_RadSpec!$F$13*U13,".")*$B$33</f>
        <v>3.6502599740025975E-2</v>
      </c>
      <c r="V33" s="38">
        <f>IFERROR(up_RadSpec!$M$13*V13,".")*$B$33</f>
        <v>1.6738317303021472E-2</v>
      </c>
      <c r="W33" s="38">
        <f>IFERROR(up_RadSpec!$N$13*W13,".")*$B$33</f>
        <v>2.8174577891048116E-2</v>
      </c>
      <c r="X33" s="38">
        <f>IFERROR(up_RadSpec!$O$13*X13,".")*$B$33</f>
        <v>3.4129528493552989E-2</v>
      </c>
      <c r="Y33" s="38">
        <f>IFERROR(up_RadSpec!$K$13*Y13,".")*$B$33</f>
        <v>1.7398672503883641E-3</v>
      </c>
      <c r="Z33" s="47">
        <f t="shared" ref="Z33:Z44" si="18">IFERROR(IF(U33&gt;0.01,1-EXP(-U33),U33),".")</f>
        <v>3.5844412660805847E-2</v>
      </c>
      <c r="AA33" s="47">
        <f t="shared" si="13"/>
        <v>1.6599010009466286E-2</v>
      </c>
      <c r="AB33" s="47">
        <f t="shared" si="13"/>
        <v>2.7781375892017124E-2</v>
      </c>
      <c r="AC33" s="47">
        <f t="shared" si="13"/>
        <v>3.3553685805360556E-2</v>
      </c>
      <c r="AD33" s="47">
        <f t="shared" si="13"/>
        <v>1.7398672503883641E-3</v>
      </c>
      <c r="AE33" s="30">
        <f t="shared" ref="AE33:AG33" si="19">IFERROR(AE13/$B33,0)</f>
        <v>2.9090909090909094E-10</v>
      </c>
      <c r="AF33" s="30">
        <f t="shared" si="19"/>
        <v>6.3709090909090908E-6</v>
      </c>
      <c r="AG33" s="30">
        <f t="shared" si="19"/>
        <v>2.9089580799548386E-10</v>
      </c>
      <c r="AH33" s="38">
        <f>IFERROR(up_RadSpec!$G$13*AH13,".")*$B$33</f>
        <v>171875</v>
      </c>
      <c r="AI33" s="38">
        <f>IFERROR(up_RadSpec!$J$13*AI13,".")*$B$33</f>
        <v>7.8481735159817356</v>
      </c>
      <c r="AJ33" s="47">
        <f t="shared" ref="AJ33:AK44" si="20">IFERROR(IF(AH33&gt;0.01,1-EXP(-AH33),AH33),".")</f>
        <v>1</v>
      </c>
      <c r="AK33" s="47">
        <f t="shared" si="20"/>
        <v>0.99960953550549536</v>
      </c>
      <c r="AL33" s="47">
        <f t="shared" ref="AL33:AL44" si="21">IFERROR(IF(SUM(AH33:AI33)&gt;0.01,1-EXP(-SUM(AH33:AI33)),SUM(AH33:AI33)),".")</f>
        <v>1</v>
      </c>
    </row>
    <row r="34" spans="1:38" x14ac:dyDescent="0.25">
      <c r="A34" s="29" t="s">
        <v>292</v>
      </c>
      <c r="B34" s="24">
        <v>1</v>
      </c>
      <c r="C34" s="2"/>
      <c r="D34" s="30">
        <f t="shared" si="15"/>
        <v>7.272727272727274E-8</v>
      </c>
      <c r="E34" s="30">
        <f t="shared" si="15"/>
        <v>9.0250320889537203E-5</v>
      </c>
      <c r="F34" s="30">
        <f t="shared" si="15"/>
        <v>2.0562544858686665E-4</v>
      </c>
      <c r="G34" s="30">
        <f>IF(AND(D34&lt;&gt;0,E34&lt;&gt;0,F34&lt;&gt;0),1/((1/D34)+(1/E34)+(1/F34)),IF(AND(D34&lt;&gt;0,E34&lt;&gt;0,F34=0), 1/((1/D34)+(1/E34)),IF(AND(D34&lt;&gt;0,E34=0,F34&lt;&gt;0),1/((1/D34)+(1/F34)),IF(AND(D34=0,E34&lt;&gt;0,F34&lt;&gt;0),1/((1/E34)+(1/F34)),IF(AND(D34&lt;&gt;0,E34=0,F34=0),1/((1/D34)),IF(AND(D34=0,E34&lt;&gt;0,F34=0),1/((1/E34)),IF(AND(D34=0,E34=0,F34&lt;&gt;0),1/((1/F34)),IF(AND(D34=0,E34=0,F34=0),0))))))))</f>
        <v>7.2643041117267662E-8</v>
      </c>
      <c r="H34" s="38">
        <f>IFERROR(up_RadSpec!$I$14*H14,".")*$B$34</f>
        <v>687.5</v>
      </c>
      <c r="I34" s="38">
        <f>IFERROR(up_RadSpec!$G$14*I14,".")*$B$33</f>
        <v>0.55401465066476618</v>
      </c>
      <c r="J34" s="38">
        <f>IFERROR(up_RadSpec!$F$14*J14,".")*$B$33</f>
        <v>0.24316056375131734</v>
      </c>
      <c r="K34" s="47">
        <f t="shared" si="11"/>
        <v>1</v>
      </c>
      <c r="L34" s="47">
        <f t="shared" si="11"/>
        <v>0.42536179830386023</v>
      </c>
      <c r="M34" s="47">
        <f t="shared" si="11"/>
        <v>0.21585440169574566</v>
      </c>
      <c r="N34" s="47">
        <f t="shared" si="16"/>
        <v>1</v>
      </c>
      <c r="O34" s="47"/>
      <c r="P34" s="30">
        <f t="shared" ref="P34:T34" si="22">IFERROR(P14/$B34,0)</f>
        <v>2.0562544858686665E-4</v>
      </c>
      <c r="Q34" s="30">
        <f t="shared" si="22"/>
        <v>3.7343707965151196E-4</v>
      </c>
      <c r="R34" s="30">
        <f t="shared" si="22"/>
        <v>2.7609833639378426E-4</v>
      </c>
      <c r="S34" s="30">
        <f t="shared" si="22"/>
        <v>2.419440369080657E-4</v>
      </c>
      <c r="T34" s="30">
        <f t="shared" si="22"/>
        <v>1.0419900221729495E-3</v>
      </c>
      <c r="U34" s="38">
        <f>IFERROR(up_RadSpec!$F$14*U14,".")*$B$33</f>
        <v>0.24316056375131734</v>
      </c>
      <c r="V34" s="38">
        <f>IFERROR(up_RadSpec!$M$14*V14,".")*$B$33</f>
        <v>0.1338913640998359</v>
      </c>
      <c r="W34" s="38">
        <f>IFERROR(up_RadSpec!$N$14*W14,".")*$B$33</f>
        <v>0.18109489775660109</v>
      </c>
      <c r="X34" s="38">
        <f>IFERROR(up_RadSpec!$O$14*X14,".")*$B$33</f>
        <v>0.20665936073059363</v>
      </c>
      <c r="Y34" s="38">
        <f>IFERROR(up_RadSpec!$K$14*Y14,".")*$B$33</f>
        <v>4.7985104402181122E-2</v>
      </c>
      <c r="Z34" s="47">
        <f t="shared" si="18"/>
        <v>0.21585440169574566</v>
      </c>
      <c r="AA34" s="47">
        <f t="shared" si="13"/>
        <v>0.12531491835668584</v>
      </c>
      <c r="AB34" s="47">
        <f t="shared" si="13"/>
        <v>0.16564382359060925</v>
      </c>
      <c r="AC34" s="47">
        <f t="shared" si="13"/>
        <v>0.18670335641807478</v>
      </c>
      <c r="AD34" s="47">
        <f t="shared" si="13"/>
        <v>4.6852015319194695E-2</v>
      </c>
      <c r="AE34" s="30">
        <f t="shared" ref="AE34:AG34" si="23">IFERROR(AE14/$B34,0)</f>
        <v>2.9090909090909094E-10</v>
      </c>
      <c r="AF34" s="30">
        <f t="shared" si="23"/>
        <v>6.3709090909090908E-6</v>
      </c>
      <c r="AG34" s="30">
        <f t="shared" si="23"/>
        <v>2.9089580799548386E-10</v>
      </c>
      <c r="AH34" s="38">
        <f>IFERROR(up_RadSpec!$G$14*AH14,".")*$B$33</f>
        <v>171875</v>
      </c>
      <c r="AI34" s="38">
        <f>IFERROR(up_RadSpec!$J$14*AI14,".")*$B$33</f>
        <v>7.8481735159817356</v>
      </c>
      <c r="AJ34" s="47">
        <f t="shared" si="20"/>
        <v>1</v>
      </c>
      <c r="AK34" s="47">
        <f t="shared" si="20"/>
        <v>0.99960953550549536</v>
      </c>
      <c r="AL34" s="47">
        <f t="shared" si="21"/>
        <v>1</v>
      </c>
    </row>
    <row r="35" spans="1:38" x14ac:dyDescent="0.25">
      <c r="A35" s="29" t="s">
        <v>293</v>
      </c>
      <c r="B35" s="24">
        <v>1</v>
      </c>
      <c r="C35" s="2"/>
      <c r="D35" s="30">
        <f>IFERROR(D30/$B35,0)</f>
        <v>7.272727272727274E-8</v>
      </c>
      <c r="E35" s="30">
        <f>IFERROR(E30/$B35,0)</f>
        <v>9.0250320889537203E-5</v>
      </c>
      <c r="F35" s="30">
        <f>IFERROR(F30/$B35,0)</f>
        <v>6.6363636363636364E-4</v>
      </c>
      <c r="G35" s="30">
        <f t="shared" ref="G35:G61" si="24">IF(AND(D35&lt;&gt;0,E35&lt;&gt;0,F35&lt;&gt;0),1/((1/D35)+(1/E35)+(1/F35)),IF(AND(D35&lt;&gt;0,E35&lt;&gt;0,F35=0), 1/((1/D35)+(1/E35)),IF(AND(D35&lt;&gt;0,E35=0,F35&lt;&gt;0),1/((1/D35)+(1/F35)),IF(AND(D35=0,E35&lt;&gt;0,F35&lt;&gt;0),1/((1/E35)+(1/F35)),IF(AND(D35&lt;&gt;0,E35=0,F35=0),1/((1/D35)),IF(AND(D35=0,E35&lt;&gt;0,F35=0),1/((1/E35)),IF(AND(D35=0,E35=0,F35&lt;&gt;0),1/((1/F35)),IF(AND(D35=0,E35=0,F35=0),0))))))))</f>
        <v>7.2660756997090266E-8</v>
      </c>
      <c r="H35" s="38">
        <f>IFERROR(up_RadSpec!$I$30*H30,".")*$B$35</f>
        <v>687.5</v>
      </c>
      <c r="I35" s="38">
        <f>IFERROR(up_RadSpec!$G$30*I30,".")*$B$35</f>
        <v>0.55401465066476618</v>
      </c>
      <c r="J35" s="38">
        <f>IFERROR(up_RadSpec!$F$30*J30,".")*$B$35</f>
        <v>7.5342465753424667E-2</v>
      </c>
      <c r="K35" s="47">
        <f t="shared" si="11"/>
        <v>1</v>
      </c>
      <c r="L35" s="47">
        <f t="shared" si="11"/>
        <v>0.42536179830386023</v>
      </c>
      <c r="M35" s="47">
        <f t="shared" si="11"/>
        <v>7.2574179645514159E-2</v>
      </c>
      <c r="N35" s="47">
        <f t="shared" si="16"/>
        <v>1</v>
      </c>
      <c r="O35" s="47"/>
      <c r="P35" s="30">
        <f t="shared" ref="P35:T35" si="25">IFERROR(P30/$B35,0)</f>
        <v>6.6363636363636364E-4</v>
      </c>
      <c r="Q35" s="30">
        <f t="shared" si="25"/>
        <v>3.2511340206185565E-3</v>
      </c>
      <c r="R35" s="30">
        <f t="shared" si="25"/>
        <v>1.1715982880755604E-3</v>
      </c>
      <c r="S35" s="30">
        <f t="shared" si="25"/>
        <v>8.7207902454082466E-4</v>
      </c>
      <c r="T35" s="30">
        <f t="shared" si="25"/>
        <v>7.963636363636363E-2</v>
      </c>
      <c r="U35" s="38">
        <f>IFERROR(up_RadSpec!$F$30*U30,".")*$B$35</f>
        <v>7.5342465753424667E-2</v>
      </c>
      <c r="V35" s="38">
        <f>IFERROR(up_RadSpec!$M$30*V30,".")*$B$35</f>
        <v>1.5379249112125827E-2</v>
      </c>
      <c r="W35" s="38">
        <f>IFERROR(up_RadSpec!$N$30*W30,".")*$B$35</f>
        <v>4.267674381987091E-2</v>
      </c>
      <c r="X35" s="38">
        <f>IFERROR(up_RadSpec!$O$30*X30,".")*$B$35</f>
        <v>5.7334253654737863E-2</v>
      </c>
      <c r="Y35" s="38">
        <f>IFERROR(up_RadSpec!$K$30*Y30,".")*$B$35</f>
        <v>6.2785388127853891E-4</v>
      </c>
      <c r="Z35" s="47">
        <f t="shared" si="18"/>
        <v>7.2574179645514159E-2</v>
      </c>
      <c r="AA35" s="47">
        <f t="shared" si="13"/>
        <v>1.5261592390060863E-2</v>
      </c>
      <c r="AB35" s="47">
        <f t="shared" si="13"/>
        <v>4.1778909102457185E-2</v>
      </c>
      <c r="AC35" s="47">
        <f t="shared" si="13"/>
        <v>5.5721611891659806E-2</v>
      </c>
      <c r="AD35" s="47">
        <f t="shared" si="13"/>
        <v>6.2785388127853891E-4</v>
      </c>
      <c r="AE35" s="30">
        <f t="shared" ref="AE35:AG35" si="26">IFERROR(AE30/$B35,0)</f>
        <v>2.9090909090909094E-10</v>
      </c>
      <c r="AF35" s="30">
        <f t="shared" si="26"/>
        <v>6.3709090909090908E-6</v>
      </c>
      <c r="AG35" s="30">
        <f t="shared" si="26"/>
        <v>2.9089580799548386E-10</v>
      </c>
      <c r="AH35" s="38">
        <f>IFERROR(up_RadSpec!$G$30*AH30,".")*$B$35</f>
        <v>171875</v>
      </c>
      <c r="AI35" s="38">
        <f>IFERROR(up_RadSpec!$J$30*AI30,".")*$B$35</f>
        <v>7.8481735159817356</v>
      </c>
      <c r="AJ35" s="47">
        <f t="shared" si="20"/>
        <v>1</v>
      </c>
      <c r="AK35" s="47">
        <f t="shared" si="20"/>
        <v>0.99960953550549536</v>
      </c>
      <c r="AL35" s="47">
        <f t="shared" si="21"/>
        <v>1</v>
      </c>
    </row>
    <row r="36" spans="1:38" x14ac:dyDescent="0.25">
      <c r="A36" s="29" t="s">
        <v>294</v>
      </c>
      <c r="B36" s="24">
        <v>1</v>
      </c>
      <c r="C36" s="2"/>
      <c r="D36" s="30">
        <f>IFERROR(D26/$B36,0)</f>
        <v>7.272727272727274E-8</v>
      </c>
      <c r="E36" s="30">
        <f>IFERROR(E26/$B36,0)</f>
        <v>9.0250320889537203E-5</v>
      </c>
      <c r="F36" s="30">
        <f>IFERROR(F26/$B36,0)</f>
        <v>6.9749536178107571E-4</v>
      </c>
      <c r="G36" s="30">
        <f t="shared" si="24"/>
        <v>7.2661143190402889E-8</v>
      </c>
      <c r="H36" s="38">
        <f>IFERROR(up_RadSpec!$I$26*H26,".")*$B$37</f>
        <v>687.5</v>
      </c>
      <c r="I36" s="38">
        <f>IFERROR(up_RadSpec!$G$26*I26,".")*$B$37</f>
        <v>0.55401465066476618</v>
      </c>
      <c r="J36" s="38">
        <f>IFERROR(up_RadSpec!$F$26*J26,".")*$B$37</f>
        <v>7.1685064503258455E-2</v>
      </c>
      <c r="K36" s="47">
        <f t="shared" si="11"/>
        <v>1</v>
      </c>
      <c r="L36" s="47">
        <f t="shared" si="11"/>
        <v>0.42536179830386023</v>
      </c>
      <c r="M36" s="47">
        <f t="shared" si="11"/>
        <v>6.9176000826984829E-2</v>
      </c>
      <c r="N36" s="47">
        <f t="shared" si="16"/>
        <v>1</v>
      </c>
      <c r="O36" s="47"/>
      <c r="P36" s="30">
        <f t="shared" ref="P36:T36" si="27">IFERROR(P26/$B36,0)</f>
        <v>6.9749536178107571E-4</v>
      </c>
      <c r="Q36" s="30">
        <f t="shared" si="27"/>
        <v>1.2734541301074713E-3</v>
      </c>
      <c r="R36" s="30">
        <f t="shared" si="27"/>
        <v>9.2042870813397121E-4</v>
      </c>
      <c r="S36" s="30">
        <f t="shared" si="27"/>
        <v>7.8731404958677653E-4</v>
      </c>
      <c r="T36" s="30">
        <f t="shared" si="27"/>
        <v>7.422374012566158E-3</v>
      </c>
      <c r="U36" s="38">
        <f>IFERROR(up_RadSpec!$F$26*U26,".")*$B$37</f>
        <v>7.1685064503258455E-2</v>
      </c>
      <c r="V36" s="38">
        <f>IFERROR(up_RadSpec!$M$26*V26,".")*$B$37</f>
        <v>3.9263290932811473E-2</v>
      </c>
      <c r="W36" s="38">
        <f>IFERROR(up_RadSpec!$N$26*W26,".")*$B$37</f>
        <v>5.4322512496777053E-2</v>
      </c>
      <c r="X36" s="38">
        <f>IFERROR(up_RadSpec!$O$26*X26,".")*$B$37</f>
        <v>6.3507059255760293E-2</v>
      </c>
      <c r="Y36" s="38">
        <f>IFERROR(up_RadSpec!$K$26*Y26,".")*$B$37</f>
        <v>6.7363891815946592E-3</v>
      </c>
      <c r="Z36" s="47">
        <f t="shared" si="18"/>
        <v>6.9176000826984829E-2</v>
      </c>
      <c r="AA36" s="47">
        <f t="shared" si="13"/>
        <v>3.8502477762605181E-2</v>
      </c>
      <c r="AB36" s="47">
        <f t="shared" si="13"/>
        <v>5.2873402924444313E-2</v>
      </c>
      <c r="AC36" s="47">
        <f t="shared" si="13"/>
        <v>6.153250560478507E-2</v>
      </c>
      <c r="AD36" s="47">
        <f t="shared" si="13"/>
        <v>6.7363891815946592E-3</v>
      </c>
      <c r="AE36" s="30">
        <f t="shared" ref="AE36:AG36" si="28">IFERROR(AE26/$B36,0)</f>
        <v>2.9090909090909094E-10</v>
      </c>
      <c r="AF36" s="30">
        <f t="shared" si="28"/>
        <v>6.3709090909090908E-6</v>
      </c>
      <c r="AG36" s="30">
        <f t="shared" si="28"/>
        <v>2.9089580799548386E-10</v>
      </c>
      <c r="AH36" s="38">
        <f>IFERROR(up_RadSpec!$G$26*AH26,".")*$B$37</f>
        <v>171875</v>
      </c>
      <c r="AI36" s="38">
        <f>IFERROR(up_RadSpec!$J$26*AI26,".")*$B$37</f>
        <v>7.8481735159817356</v>
      </c>
      <c r="AJ36" s="47">
        <f t="shared" si="20"/>
        <v>1</v>
      </c>
      <c r="AK36" s="47">
        <f t="shared" si="20"/>
        <v>0.99960953550549536</v>
      </c>
      <c r="AL36" s="47">
        <f t="shared" si="21"/>
        <v>1</v>
      </c>
    </row>
    <row r="37" spans="1:38" x14ac:dyDescent="0.25">
      <c r="A37" s="29" t="s">
        <v>295</v>
      </c>
      <c r="B37" s="24">
        <v>1</v>
      </c>
      <c r="C37" s="2"/>
      <c r="D37" s="30">
        <f>IFERROR(D22/$B37,0)</f>
        <v>7.272727272727274E-8</v>
      </c>
      <c r="E37" s="30">
        <f>IFERROR(E22/$B37,0)</f>
        <v>9.0250320889537203E-5</v>
      </c>
      <c r="F37" s="30">
        <f>IFERROR(F22/$B37,0)</f>
        <v>382.12609970674498</v>
      </c>
      <c r="G37" s="30">
        <f t="shared" si="24"/>
        <v>7.2668713394365231E-8</v>
      </c>
      <c r="H37" s="38">
        <f>IFERROR(up_RadSpec!$I$22*H22,".")*$B$37</f>
        <v>687.5</v>
      </c>
      <c r="I37" s="38">
        <f>IFERROR(up_RadSpec!$G$22*I22,".")*$B$37</f>
        <v>0.55401465066476618</v>
      </c>
      <c r="J37" s="38">
        <f>IFERROR(up_RadSpec!$F$22*J22,".")*$B$37</f>
        <v>1.3084685929166184E-7</v>
      </c>
      <c r="K37" s="47">
        <f t="shared" si="11"/>
        <v>1</v>
      </c>
      <c r="L37" s="47">
        <f t="shared" si="11"/>
        <v>0.42536179830386023</v>
      </c>
      <c r="M37" s="47">
        <f t="shared" si="11"/>
        <v>1.3084685929166184E-7</v>
      </c>
      <c r="N37" s="47">
        <f t="shared" si="16"/>
        <v>1</v>
      </c>
      <c r="O37" s="47"/>
      <c r="P37" s="30">
        <f t="shared" ref="P37:T37" si="29">IFERROR(P22/$B37,0)</f>
        <v>382.12609970674498</v>
      </c>
      <c r="Q37" s="30">
        <f t="shared" si="29"/>
        <v>350.15007875419798</v>
      </c>
      <c r="R37" s="30">
        <f t="shared" si="29"/>
        <v>269.00901897858688</v>
      </c>
      <c r="S37" s="30">
        <f t="shared" si="29"/>
        <v>277.20643939393926</v>
      </c>
      <c r="T37" s="30">
        <f t="shared" si="29"/>
        <v>1966.9716748383878</v>
      </c>
      <c r="U37" s="38">
        <f>IFERROR(up_RadSpec!$F$22*U22,".")*$B$37</f>
        <v>1.3084685929166184E-7</v>
      </c>
      <c r="V37" s="38">
        <f>IFERROR(up_RadSpec!$M$22*V22,".")*$B$37</f>
        <v>1.4279591247814491E-7</v>
      </c>
      <c r="W37" s="38">
        <f>IFERROR(up_RadSpec!$N$22*W22,".")*$B$37</f>
        <v>1.858673742235386E-7</v>
      </c>
      <c r="X37" s="38">
        <f>IFERROR(up_RadSpec!$O$22*X22,".")*$B$37</f>
        <v>1.8037099033238829E-7</v>
      </c>
      <c r="Y37" s="38">
        <f>IFERROR(up_RadSpec!$K$22*Y22,".")*$B$37</f>
        <v>2.5419786486812605E-8</v>
      </c>
      <c r="Z37" s="47">
        <f t="shared" si="18"/>
        <v>1.3084685929166184E-7</v>
      </c>
      <c r="AA37" s="47">
        <f t="shared" si="13"/>
        <v>1.4279591247814491E-7</v>
      </c>
      <c r="AB37" s="47">
        <f t="shared" si="13"/>
        <v>1.858673742235386E-7</v>
      </c>
      <c r="AC37" s="47">
        <f t="shared" si="13"/>
        <v>1.8037099033238829E-7</v>
      </c>
      <c r="AD37" s="47">
        <f t="shared" si="13"/>
        <v>2.5419786486812605E-8</v>
      </c>
      <c r="AE37" s="30">
        <f t="shared" ref="AE37:AG37" si="30">IFERROR(AE22/$B37,0)</f>
        <v>2.9090909090909094E-10</v>
      </c>
      <c r="AF37" s="30">
        <f t="shared" si="30"/>
        <v>6.3709090909090908E-6</v>
      </c>
      <c r="AG37" s="30">
        <f t="shared" si="30"/>
        <v>2.9089580799548386E-10</v>
      </c>
      <c r="AH37" s="38">
        <f>IFERROR(up_RadSpec!$G$22*AH22,".")*$B$37</f>
        <v>171875</v>
      </c>
      <c r="AI37" s="38">
        <f>IFERROR(up_RadSpec!$J$22*AI22,".")*$B$37</f>
        <v>7.8481735159817356</v>
      </c>
      <c r="AJ37" s="47">
        <f t="shared" si="20"/>
        <v>1</v>
      </c>
      <c r="AK37" s="47">
        <f t="shared" si="20"/>
        <v>0.99960953550549536</v>
      </c>
      <c r="AL37" s="47">
        <f t="shared" si="21"/>
        <v>1</v>
      </c>
    </row>
    <row r="38" spans="1:38" x14ac:dyDescent="0.25">
      <c r="A38" s="29" t="s">
        <v>296</v>
      </c>
      <c r="B38" s="24">
        <v>1</v>
      </c>
      <c r="C38" s="2"/>
      <c r="D38" s="30">
        <f>IFERROR(D2/$B38,0)</f>
        <v>7.272727272727274E-8</v>
      </c>
      <c r="E38" s="30">
        <f>IFERROR(E2/$B38,0)</f>
        <v>9.0250320889537203E-5</v>
      </c>
      <c r="F38" s="30">
        <f>IFERROR(F2/$B38,0)</f>
        <v>4.227313738892688E-4</v>
      </c>
      <c r="G38" s="30">
        <f t="shared" si="24"/>
        <v>7.2656223598778113E-8</v>
      </c>
      <c r="H38" s="38">
        <f>IFERROR(up_RadSpec!$I$2*H2,".")*$B$38</f>
        <v>687.5</v>
      </c>
      <c r="I38" s="38">
        <f>IFERROR(up_RadSpec!$G$2*I2,".")*$B$38</f>
        <v>0.55401465066476618</v>
      </c>
      <c r="J38" s="38">
        <f>IFERROR(up_RadSpec!$F$2*J2,".")*$B$38</f>
        <v>0.11827842239383238</v>
      </c>
      <c r="K38" s="47">
        <f t="shared" si="11"/>
        <v>1</v>
      </c>
      <c r="L38" s="47">
        <f t="shared" si="11"/>
        <v>0.42536179830386023</v>
      </c>
      <c r="M38" s="47">
        <f t="shared" si="11"/>
        <v>0.11155134582550985</v>
      </c>
      <c r="N38" s="47">
        <f t="shared" si="16"/>
        <v>1</v>
      </c>
      <c r="O38" s="47"/>
      <c r="P38" s="30">
        <f t="shared" ref="P38:T38" si="31">IFERROR(P2/$B38,0)</f>
        <v>4.227313738892688E-4</v>
      </c>
      <c r="Q38" s="30">
        <f t="shared" si="31"/>
        <v>8.5473584007615406E-4</v>
      </c>
      <c r="R38" s="30">
        <f t="shared" si="31"/>
        <v>5.8052676295666935E-4</v>
      </c>
      <c r="S38" s="30">
        <f t="shared" si="31"/>
        <v>4.8254604872251922E-4</v>
      </c>
      <c r="T38" s="30">
        <f t="shared" si="31"/>
        <v>6.7637975023499414E-3</v>
      </c>
      <c r="U38" s="38">
        <f>IFERROR(up_RadSpec!$F$2*U2,".")*$B$38</f>
        <v>0.11827842239383238</v>
      </c>
      <c r="V38" s="38">
        <f>IFERROR(up_RadSpec!$M$2*V2,".")*$B$38</f>
        <v>5.8497605524000462E-2</v>
      </c>
      <c r="W38" s="38">
        <f>IFERROR(up_RadSpec!$N$2*W2,".")*$B$38</f>
        <v>8.612867345744063E-2</v>
      </c>
      <c r="X38" s="38">
        <f>IFERROR(up_RadSpec!$O$2*X2,".")*$B$38</f>
        <v>0.10361705402493462</v>
      </c>
      <c r="Y38" s="38">
        <f>IFERROR(up_RadSpec!$K$2*Y2,".")*$B$38</f>
        <v>7.392297002183839E-3</v>
      </c>
      <c r="Z38" s="47">
        <f t="shared" si="18"/>
        <v>0.11155134582550985</v>
      </c>
      <c r="AA38" s="47">
        <f t="shared" si="13"/>
        <v>5.6819501179969589E-2</v>
      </c>
      <c r="AB38" s="47">
        <f t="shared" si="13"/>
        <v>8.2523831206194553E-2</v>
      </c>
      <c r="AC38" s="47">
        <f t="shared" si="13"/>
        <v>9.8429515888812324E-2</v>
      </c>
      <c r="AD38" s="47">
        <f t="shared" si="13"/>
        <v>7.392297002183839E-3</v>
      </c>
      <c r="AE38" s="30">
        <f t="shared" ref="AE38:AG38" si="32">IFERROR(AE2/$B38,0)</f>
        <v>2.9090909090909094E-10</v>
      </c>
      <c r="AF38" s="30">
        <f t="shared" si="32"/>
        <v>6.3709090909090908E-6</v>
      </c>
      <c r="AG38" s="30">
        <f t="shared" si="32"/>
        <v>2.9089580799548386E-10</v>
      </c>
      <c r="AH38" s="38">
        <f>IFERROR(up_RadSpec!$G$2*AH2,".")*$B$38</f>
        <v>171875</v>
      </c>
      <c r="AI38" s="38">
        <f>IFERROR(up_RadSpec!$J$2*AI2,".")*$B$38</f>
        <v>7.8481735159817356</v>
      </c>
      <c r="AJ38" s="47">
        <f t="shared" si="20"/>
        <v>1</v>
      </c>
      <c r="AK38" s="47">
        <f t="shared" si="20"/>
        <v>0.99960953550549536</v>
      </c>
      <c r="AL38" s="47">
        <f t="shared" si="21"/>
        <v>1</v>
      </c>
    </row>
    <row r="39" spans="1:38" x14ac:dyDescent="0.25">
      <c r="A39" s="29" t="s">
        <v>297</v>
      </c>
      <c r="B39" s="24">
        <v>1</v>
      </c>
      <c r="C39" s="2"/>
      <c r="D39" s="30">
        <f>IFERROR(D11/$B39,0)</f>
        <v>7.272727272727274E-8</v>
      </c>
      <c r="E39" s="30">
        <f>IFERROR(E11/$B39,0)</f>
        <v>9.0250320889537203E-5</v>
      </c>
      <c r="F39" s="30">
        <f>IFERROR(F11/$B39,0)</f>
        <v>3.7192807192807195E-4</v>
      </c>
      <c r="G39" s="30">
        <f t="shared" si="24"/>
        <v>7.2654517893682949E-8</v>
      </c>
      <c r="H39" s="38">
        <f>IFERROR(up_RadSpec!$I$11*H11,".")*$B$39</f>
        <v>687.5</v>
      </c>
      <c r="I39" s="38">
        <f>IFERROR(up_RadSpec!$G$11*I11,".")*$B$39</f>
        <v>0.55401465066476618</v>
      </c>
      <c r="J39" s="38">
        <f>IFERROR(up_RadSpec!$F$11*J11,".")*$B$39</f>
        <v>0.13443459575611069</v>
      </c>
      <c r="K39" s="47">
        <f t="shared" si="11"/>
        <v>1</v>
      </c>
      <c r="L39" s="47">
        <f t="shared" si="11"/>
        <v>0.42536179830386023</v>
      </c>
      <c r="M39" s="47">
        <f t="shared" si="11"/>
        <v>0.1257899459456121</v>
      </c>
      <c r="N39" s="47">
        <f t="shared" si="16"/>
        <v>1</v>
      </c>
      <c r="O39" s="47"/>
      <c r="P39" s="30">
        <f t="shared" ref="P39:T39" si="33">IFERROR(P11/$B39,0)</f>
        <v>3.7192807192807195E-4</v>
      </c>
      <c r="Q39" s="30">
        <f t="shared" si="33"/>
        <v>4.7061193653991448E-4</v>
      </c>
      <c r="R39" s="30">
        <f t="shared" si="33"/>
        <v>3.6523871811641593E-4</v>
      </c>
      <c r="S39" s="30">
        <f t="shared" si="33"/>
        <v>3.4790969899665567E-4</v>
      </c>
      <c r="T39" s="30">
        <f t="shared" si="33"/>
        <v>8.7610157699443412E-4</v>
      </c>
      <c r="U39" s="38">
        <f>IFERROR(up_RadSpec!$F$11*U11,".")*$B$39</f>
        <v>0.13443459575611069</v>
      </c>
      <c r="V39" s="38">
        <f>IFERROR(up_RadSpec!$M$11*V11,".")*$B$39</f>
        <v>0.10624464897260275</v>
      </c>
      <c r="W39" s="38">
        <f>IFERROR(up_RadSpec!$N$11*W11,".")*$B$39</f>
        <v>0.13689676783955596</v>
      </c>
      <c r="X39" s="38">
        <f>IFERROR(up_RadSpec!$O$11*X11,".")*$B$39</f>
        <v>0.14371545301610189</v>
      </c>
      <c r="Y39" s="38">
        <f>IFERROR(up_RadSpec!$K$11*Y11,".")*$B$39</f>
        <v>5.7071007875057901E-2</v>
      </c>
      <c r="Z39" s="47">
        <f t="shared" si="18"/>
        <v>0.1257899459456121</v>
      </c>
      <c r="AA39" s="47">
        <f t="shared" si="13"/>
        <v>0.1007953683256706</v>
      </c>
      <c r="AB39" s="47">
        <f t="shared" si="13"/>
        <v>0.1279397538512036</v>
      </c>
      <c r="AC39" s="47">
        <f t="shared" si="13"/>
        <v>0.13386583113620476</v>
      </c>
      <c r="AD39" s="47">
        <f t="shared" si="13"/>
        <v>5.5473001869813521E-2</v>
      </c>
      <c r="AE39" s="30">
        <f t="shared" ref="AE39:AG39" si="34">IFERROR(AE11/$B39,0)</f>
        <v>2.9090909090909094E-10</v>
      </c>
      <c r="AF39" s="30">
        <f t="shared" si="34"/>
        <v>6.3709090909090908E-6</v>
      </c>
      <c r="AG39" s="30">
        <f t="shared" si="34"/>
        <v>2.9089580799548386E-10</v>
      </c>
      <c r="AH39" s="38">
        <f>IFERROR(up_RadSpec!$G$11*AH11,".")*$B$39</f>
        <v>171875</v>
      </c>
      <c r="AI39" s="38">
        <f>IFERROR(up_RadSpec!$J$11*AI11,".")*$B$39</f>
        <v>7.8481735159817356</v>
      </c>
      <c r="AJ39" s="47">
        <f t="shared" si="20"/>
        <v>1</v>
      </c>
      <c r="AK39" s="47">
        <f t="shared" si="20"/>
        <v>0.99960953550549536</v>
      </c>
      <c r="AL39" s="47">
        <f t="shared" si="21"/>
        <v>1</v>
      </c>
    </row>
    <row r="40" spans="1:38" x14ac:dyDescent="0.25">
      <c r="A40" s="29" t="s">
        <v>298</v>
      </c>
      <c r="B40" s="24">
        <v>1</v>
      </c>
      <c r="C40" s="2"/>
      <c r="D40" s="30">
        <f>IFERROR(D4/$B40,0)</f>
        <v>7.272727272727274E-8</v>
      </c>
      <c r="E40" s="30">
        <f>IFERROR(E4/$B40,0)</f>
        <v>9.0250320889537203E-5</v>
      </c>
      <c r="F40" s="30">
        <f>IFERROR(F4/$B40,0)</f>
        <v>2.0646464646464658E-4</v>
      </c>
      <c r="G40" s="30">
        <f t="shared" si="24"/>
        <v>7.2643145428355633E-8</v>
      </c>
      <c r="H40" s="38">
        <f>IFERROR(up_RadSpec!$I$4*H4,".")*$B$40</f>
        <v>687.5</v>
      </c>
      <c r="I40" s="38">
        <f>IFERROR(up_RadSpec!$G$4*I4,".")*$B$40</f>
        <v>0.55401465066476618</v>
      </c>
      <c r="J40" s="38">
        <f>IFERROR(up_RadSpec!$F$4*J4,".")*$B$40</f>
        <v>0.24217221135029349</v>
      </c>
      <c r="K40" s="47">
        <f t="shared" si="11"/>
        <v>1</v>
      </c>
      <c r="L40" s="47">
        <f t="shared" si="11"/>
        <v>0.42536179830386023</v>
      </c>
      <c r="M40" s="47">
        <f t="shared" si="11"/>
        <v>0.21507900639212407</v>
      </c>
      <c r="N40" s="47">
        <f t="shared" si="16"/>
        <v>1</v>
      </c>
      <c r="O40" s="47"/>
      <c r="P40" s="30">
        <f t="shared" ref="P40:T40" si="35">IFERROR(P4/$B40,0)</f>
        <v>2.0646464646464658E-4</v>
      </c>
      <c r="Q40" s="30">
        <f t="shared" si="35"/>
        <v>3.3692307692307711E-4</v>
      </c>
      <c r="R40" s="30">
        <f t="shared" si="35"/>
        <v>2.4237154150197625E-4</v>
      </c>
      <c r="S40" s="30">
        <f t="shared" si="35"/>
        <v>2.1098354141832406E-4</v>
      </c>
      <c r="T40" s="30">
        <f t="shared" si="35"/>
        <v>6.2221661833312307E-4</v>
      </c>
      <c r="U40" s="38">
        <f>IFERROR(up_RadSpec!$F$4*U4,".")*$B$40</f>
        <v>0.24217221135029349</v>
      </c>
      <c r="V40" s="38">
        <f>IFERROR(up_RadSpec!$M$4*V4,".")*$B$40</f>
        <v>0.14840182648401826</v>
      </c>
      <c r="W40" s="38">
        <f>IFERROR(up_RadSpec!$N$4*W4,".")*$B$40</f>
        <v>0.2062948467058057</v>
      </c>
      <c r="X40" s="38">
        <f>IFERROR(up_RadSpec!$O$4*X4,".")*$B$40</f>
        <v>0.23698531015205282</v>
      </c>
      <c r="Y40" s="38">
        <f>IFERROR(up_RadSpec!$K$4*Y4,".")*$B$40</f>
        <v>8.0357866580205939E-2</v>
      </c>
      <c r="Z40" s="47">
        <f t="shared" si="18"/>
        <v>0.21507900639212407</v>
      </c>
      <c r="AA40" s="47">
        <f t="shared" si="13"/>
        <v>0.13791536310389019</v>
      </c>
      <c r="AB40" s="47">
        <f t="shared" si="13"/>
        <v>0.18640684434705523</v>
      </c>
      <c r="AC40" s="47">
        <f t="shared" si="13"/>
        <v>0.21099712173520835</v>
      </c>
      <c r="AD40" s="47">
        <f t="shared" si="13"/>
        <v>7.7213946999370564E-2</v>
      </c>
      <c r="AE40" s="30">
        <f t="shared" ref="AE40:AG40" si="36">IFERROR(AE4/$B40,0)</f>
        <v>2.9090909090909094E-10</v>
      </c>
      <c r="AF40" s="30">
        <f t="shared" si="36"/>
        <v>6.3709090909090908E-6</v>
      </c>
      <c r="AG40" s="30">
        <f t="shared" si="36"/>
        <v>2.9089580799548386E-10</v>
      </c>
      <c r="AH40" s="38">
        <f>IFERROR(up_RadSpec!$G$4*AH4,".")*$B$40</f>
        <v>171875</v>
      </c>
      <c r="AI40" s="38">
        <f>IFERROR(up_RadSpec!$J$4*AI4,".")*$B$40</f>
        <v>7.8481735159817356</v>
      </c>
      <c r="AJ40" s="47">
        <f t="shared" si="20"/>
        <v>1</v>
      </c>
      <c r="AK40" s="47">
        <f t="shared" si="20"/>
        <v>0.99960953550549536</v>
      </c>
      <c r="AL40" s="47">
        <f t="shared" si="21"/>
        <v>1</v>
      </c>
    </row>
    <row r="41" spans="1:38" x14ac:dyDescent="0.25">
      <c r="A41" s="29" t="s">
        <v>299</v>
      </c>
      <c r="B41" s="31">
        <v>0.99987999999999999</v>
      </c>
      <c r="C41" s="111"/>
      <c r="D41" s="30">
        <f>IFERROR(D8/$B41,0)</f>
        <v>7.2736001047398429E-8</v>
      </c>
      <c r="E41" s="30">
        <f>IFERROR(E8/$B41,0)</f>
        <v>9.0261152227804535E-5</v>
      </c>
      <c r="F41" s="30">
        <f>IFERROR(F8/$B41,0)</f>
        <v>1.3200981405563753E-4</v>
      </c>
      <c r="G41" s="30">
        <f t="shared" si="24"/>
        <v>7.2637444468070142E-8</v>
      </c>
      <c r="H41" s="38">
        <f>IFERROR(up_RadSpec!$I$8*H8,".")*$B$41</f>
        <v>687.41750000000002</v>
      </c>
      <c r="I41" s="38">
        <f>IFERROR(up_RadSpec!$G$8*I8,".")*$B$41</f>
        <v>0.55394816890668641</v>
      </c>
      <c r="J41" s="38">
        <f>IFERROR(up_RadSpec!$F$8*J8,".")*$B$41</f>
        <v>0.37875971841704709</v>
      </c>
      <c r="K41" s="47">
        <f t="shared" si="11"/>
        <v>1</v>
      </c>
      <c r="L41" s="47">
        <f t="shared" si="11"/>
        <v>0.4253235940760236</v>
      </c>
      <c r="M41" s="47">
        <f t="shared" si="11"/>
        <v>0.31528988386752166</v>
      </c>
      <c r="N41" s="47">
        <f t="shared" si="16"/>
        <v>1</v>
      </c>
      <c r="O41" s="47"/>
      <c r="P41" s="30">
        <f t="shared" ref="P41:T41" si="37">IFERROR(P8/$B41,0)</f>
        <v>1.3200981405563753E-4</v>
      </c>
      <c r="Q41" s="30">
        <f t="shared" si="37"/>
        <v>2.4233038888509513E-4</v>
      </c>
      <c r="R41" s="30">
        <f t="shared" si="37"/>
        <v>1.7687863198867672E-4</v>
      </c>
      <c r="S41" s="30">
        <f t="shared" si="37"/>
        <v>1.6216978495640926E-4</v>
      </c>
      <c r="T41" s="30">
        <f t="shared" si="37"/>
        <v>4.4901056217045007E-4</v>
      </c>
      <c r="U41" s="38">
        <f>IFERROR(up_RadSpec!$F$8*U8,".")*$B$41</f>
        <v>0.37875971841704709</v>
      </c>
      <c r="V41" s="38">
        <f>IFERROR(up_RadSpec!$M$8*V8,".")*$B$41</f>
        <v>0.20632987975646885</v>
      </c>
      <c r="W41" s="38">
        <f>IFERROR(up_RadSpec!$N$8*W8,".")*$B$41</f>
        <v>0.28267970776255708</v>
      </c>
      <c r="X41" s="38">
        <f>IFERROR(up_RadSpec!$O$8*X8,".")*$B$41</f>
        <v>0.3083188401183356</v>
      </c>
      <c r="Y41" s="38">
        <f>IFERROR(up_RadSpec!$K$8*Y8,".")*$B$41</f>
        <v>0.11135595509893456</v>
      </c>
      <c r="Z41" s="47">
        <f t="shared" si="18"/>
        <v>0.31528988386752166</v>
      </c>
      <c r="AA41" s="47">
        <f t="shared" si="13"/>
        <v>0.18643534649803484</v>
      </c>
      <c r="AB41" s="47">
        <f t="shared" si="13"/>
        <v>0.24623882694663335</v>
      </c>
      <c r="AC41" s="47">
        <f t="shared" si="13"/>
        <v>0.2653189651264759</v>
      </c>
      <c r="AD41" s="47">
        <f t="shared" si="13"/>
        <v>0.1053797523924368</v>
      </c>
      <c r="AE41" s="30">
        <f t="shared" ref="AE41:AG41" si="38">IFERROR(AE8/$B41,0)</f>
        <v>2.9094400418959372E-10</v>
      </c>
      <c r="AF41" s="30">
        <f t="shared" si="38"/>
        <v>6.3716736917521008E-6</v>
      </c>
      <c r="AG41" s="30">
        <f t="shared" si="38"/>
        <v>2.9093071968184571E-10</v>
      </c>
      <c r="AH41" s="38">
        <f>IFERROR(up_RadSpec!$G$8*AH8,".")*$B$41</f>
        <v>171854.375</v>
      </c>
      <c r="AI41" s="38">
        <f>IFERROR(up_RadSpec!$J$8*AI8,".")*$B$41</f>
        <v>7.8472317351598173</v>
      </c>
      <c r="AJ41" s="47">
        <f t="shared" si="20"/>
        <v>1</v>
      </c>
      <c r="AK41" s="47">
        <f t="shared" si="20"/>
        <v>0.99960916760030694</v>
      </c>
      <c r="AL41" s="47">
        <f t="shared" si="21"/>
        <v>1</v>
      </c>
    </row>
    <row r="42" spans="1:38" x14ac:dyDescent="0.25">
      <c r="A42" s="29" t="s">
        <v>300</v>
      </c>
      <c r="B42" s="24">
        <v>0.97898250799999997</v>
      </c>
      <c r="C42" s="2"/>
      <c r="D42" s="30">
        <f>IFERROR(D19/$B42,0)</f>
        <v>7.4288633487282639E-8</v>
      </c>
      <c r="E42" s="30">
        <f>IFERROR(E19/$B42,0)</f>
        <v>9.218787889674655E-5</v>
      </c>
      <c r="F42" s="30">
        <f>IFERROR(F19/$B42,0)</f>
        <v>9.3335689693158487E-5</v>
      </c>
      <c r="G42" s="30">
        <f t="shared" si="24"/>
        <v>7.4169830548875511E-8</v>
      </c>
      <c r="H42" s="48">
        <f>IFERROR(up_RadSpec!$I$19*H19,".")*$B$42</f>
        <v>673.05047424999998</v>
      </c>
      <c r="I42" s="48">
        <f>IFERROR(up_RadSpec!$G$19*I19,".")*$B$42</f>
        <v>0.54237065217653668</v>
      </c>
      <c r="J42" s="48">
        <f>IFERROR(up_RadSpec!$F$19*J19,".")*$B$42</f>
        <v>0.53570076103123287</v>
      </c>
      <c r="K42" s="47">
        <f t="shared" si="11"/>
        <v>1</v>
      </c>
      <c r="L42" s="47">
        <f t="shared" si="11"/>
        <v>0.41863160481192108</v>
      </c>
      <c r="M42" s="47">
        <f t="shared" si="11"/>
        <v>0.41474098030336914</v>
      </c>
      <c r="N42" s="47">
        <f t="shared" si="16"/>
        <v>1</v>
      </c>
      <c r="O42" s="47"/>
      <c r="P42" s="30">
        <f t="shared" ref="P42:T42" si="39">IFERROR(P19/$B42,0)</f>
        <v>9.3335689693158487E-5</v>
      </c>
      <c r="Q42" s="30">
        <f t="shared" si="39"/>
        <v>1.8512234175998559E-4</v>
      </c>
      <c r="R42" s="30">
        <f t="shared" si="39"/>
        <v>1.2832666220443574E-4</v>
      </c>
      <c r="S42" s="30">
        <f t="shared" si="39"/>
        <v>1.0717892206332447E-4</v>
      </c>
      <c r="T42" s="30">
        <f t="shared" si="39"/>
        <v>3.1878576692228233E-4</v>
      </c>
      <c r="U42" s="48">
        <f>IFERROR(up_RadSpec!$F$19*U19,".")*$B$42</f>
        <v>0.53570076103123287</v>
      </c>
      <c r="V42" s="48">
        <f>IFERROR(up_RadSpec!$M$19*V19,".")*$B$42</f>
        <v>0.27009165681809438</v>
      </c>
      <c r="W42" s="48">
        <f>IFERROR(up_RadSpec!$N$19*W19,".")*$B$42</f>
        <v>0.38963064371101297</v>
      </c>
      <c r="X42" s="48">
        <f>IFERROR(up_RadSpec!$O$19*X19,".")*$B$42</f>
        <v>0.46650963675916185</v>
      </c>
      <c r="Y42" s="48">
        <f>IFERROR(up_RadSpec!$K$19*Y19,".")*$B$42</f>
        <v>0.15684514551174947</v>
      </c>
      <c r="Z42" s="47">
        <f t="shared" si="18"/>
        <v>0.41474098030336914</v>
      </c>
      <c r="AA42" s="47">
        <f t="shared" si="13"/>
        <v>0.23669047139212918</v>
      </c>
      <c r="AB42" s="47">
        <f t="shared" si="13"/>
        <v>0.32269300409812429</v>
      </c>
      <c r="AC42" s="47">
        <f t="shared" si="13"/>
        <v>0.37281243525397723</v>
      </c>
      <c r="AD42" s="47">
        <f t="shared" si="13"/>
        <v>0.14516357617428777</v>
      </c>
      <c r="AE42" s="30">
        <f t="shared" ref="AE42:AG42" si="40">IFERROR(AE19/$B42,0)</f>
        <v>2.9715453394913051E-10</v>
      </c>
      <c r="AF42" s="30">
        <f t="shared" si="40"/>
        <v>6.5076842934859581E-6</v>
      </c>
      <c r="AG42" s="30">
        <f t="shared" si="40"/>
        <v>2.9714096586849728E-10</v>
      </c>
      <c r="AH42" s="48">
        <f>IFERROR(up_RadSpec!$G$19*AH19,".")*$B$42</f>
        <v>168262.61856249999</v>
      </c>
      <c r="AI42" s="48">
        <f>IFERROR(up_RadSpec!$J$19*AI19,".")*$B$42</f>
        <v>7.6832245918949775</v>
      </c>
      <c r="AJ42" s="47">
        <f t="shared" si="20"/>
        <v>1</v>
      </c>
      <c r="AK42" s="47">
        <f t="shared" si="20"/>
        <v>0.99953951238250627</v>
      </c>
      <c r="AL42" s="47">
        <f t="shared" si="21"/>
        <v>1</v>
      </c>
    </row>
    <row r="43" spans="1:38" x14ac:dyDescent="0.25">
      <c r="A43" s="29" t="s">
        <v>301</v>
      </c>
      <c r="B43" s="24">
        <v>2.0897492E-2</v>
      </c>
      <c r="C43" s="2"/>
      <c r="D43" s="30">
        <f>IFERROR(D28/$B43,0)</f>
        <v>3.4801914376745659E-6</v>
      </c>
      <c r="E43" s="30">
        <f>IFERROR(E28/$B43,0)</f>
        <v>4.318715417598303E-3</v>
      </c>
      <c r="F43" s="30">
        <f>IFERROR(F28/$B43,0)</f>
        <v>3.111881123839335E-3</v>
      </c>
      <c r="G43" s="30">
        <f t="shared" si="24"/>
        <v>3.473507729190074E-6</v>
      </c>
      <c r="H43" s="48">
        <f>IFERROR(up_RadSpec!$I$28*H28,".")*$B$43</f>
        <v>14.36702575</v>
      </c>
      <c r="I43" s="48">
        <f>IFERROR(up_RadSpec!$G$28*I28,".")*$B$43</f>
        <v>1.1577516730149746E-2</v>
      </c>
      <c r="J43" s="48">
        <f>IFERROR(up_RadSpec!$F$28*J28,".")*$B$43</f>
        <v>1.6067451811369867E-2</v>
      </c>
      <c r="K43" s="47">
        <f t="shared" si="11"/>
        <v>0.99999942392371743</v>
      </c>
      <c r="L43" s="47">
        <f t="shared" si="11"/>
        <v>1.151075517604927E-2</v>
      </c>
      <c r="M43" s="47">
        <f t="shared" si="11"/>
        <v>1.5939058876356382E-2</v>
      </c>
      <c r="N43" s="47">
        <f t="shared" si="16"/>
        <v>0.99999943963121118</v>
      </c>
      <c r="O43" s="47"/>
      <c r="P43" s="30">
        <f t="shared" ref="P43:T43" si="41">IFERROR(P28/$B43,0)</f>
        <v>3.111881123839335E-3</v>
      </c>
      <c r="Q43" s="30">
        <f t="shared" si="41"/>
        <v>6.9390601266185346E-3</v>
      </c>
      <c r="R43" s="30">
        <f t="shared" si="41"/>
        <v>4.8177112822422848E-3</v>
      </c>
      <c r="S43" s="30">
        <f t="shared" si="41"/>
        <v>4.1711879991830668E-3</v>
      </c>
      <c r="T43" s="30">
        <f t="shared" si="41"/>
        <v>1.2198623400388672E-2</v>
      </c>
      <c r="U43" s="48">
        <f>IFERROR(up_RadSpec!$F$28*U28,".")*$B$43</f>
        <v>1.6067451811369867E-2</v>
      </c>
      <c r="V43" s="48">
        <f>IFERROR(up_RadSpec!$M$28*V28,".")*$B$43</f>
        <v>7.2055867923953932E-3</v>
      </c>
      <c r="W43" s="48">
        <f>IFERROR(up_RadSpec!$N$28*W28,".")*$B$43</f>
        <v>1.0378372025799092E-2</v>
      </c>
      <c r="X43" s="48">
        <f>IFERROR(up_RadSpec!$O$28*X28,".")*$B$43</f>
        <v>1.198699267685671E-2</v>
      </c>
      <c r="Y43" s="48">
        <f>IFERROR(up_RadSpec!$K$28*Y28,".")*$B$43</f>
        <v>4.0988231506849295E-3</v>
      </c>
      <c r="Z43" s="47">
        <f t="shared" si="18"/>
        <v>1.5939058876356382E-2</v>
      </c>
      <c r="AA43" s="47">
        <f t="shared" si="13"/>
        <v>7.2055867923953932E-3</v>
      </c>
      <c r="AB43" s="47">
        <f t="shared" si="13"/>
        <v>1.0324702550572051E-2</v>
      </c>
      <c r="AC43" s="47">
        <f t="shared" si="13"/>
        <v>1.1915434886424991E-2</v>
      </c>
      <c r="AD43" s="47">
        <f t="shared" si="13"/>
        <v>4.0988231506849295E-3</v>
      </c>
      <c r="AE43" s="30">
        <f t="shared" ref="AE43:AG43" si="42">IFERROR(AE28/$B43,0)</f>
        <v>1.3920765750698263E-8</v>
      </c>
      <c r="AF43" s="30">
        <f t="shared" si="42"/>
        <v>3.0486476994029193E-4</v>
      </c>
      <c r="AG43" s="30">
        <f t="shared" si="42"/>
        <v>1.3920130128317976E-8</v>
      </c>
      <c r="AH43" s="48">
        <f>IFERROR(up_RadSpec!$G$28*AH28,".")*$B$43</f>
        <v>3591.7564375000002</v>
      </c>
      <c r="AI43" s="48">
        <f>IFERROR(up_RadSpec!$J$28*AI28,".")*$B$43</f>
        <v>0.1640071432648402</v>
      </c>
      <c r="AJ43" s="47">
        <f t="shared" si="20"/>
        <v>1</v>
      </c>
      <c r="AK43" s="47">
        <f t="shared" si="20"/>
        <v>0.15126404088718259</v>
      </c>
      <c r="AL43" s="47">
        <f t="shared" si="21"/>
        <v>1</v>
      </c>
    </row>
    <row r="44" spans="1:38" x14ac:dyDescent="0.25">
      <c r="A44" s="29" t="s">
        <v>302</v>
      </c>
      <c r="B44" s="24">
        <v>0.99987999999999999</v>
      </c>
      <c r="C44" s="2"/>
      <c r="D44" s="30">
        <f>IFERROR(D15/$B44,0)</f>
        <v>7.2736001047398429E-8</v>
      </c>
      <c r="E44" s="30">
        <f>IFERROR(E15/$B44,0)</f>
        <v>9.0261152227804535E-5</v>
      </c>
      <c r="F44" s="30">
        <f>IFERROR(F15/$B44,0)</f>
        <v>0</v>
      </c>
      <c r="G44" s="30">
        <f t="shared" si="24"/>
        <v>7.2677434700348648E-8</v>
      </c>
      <c r="H44" s="38">
        <f>IFERROR(up_RadSpec!$I$15*H15,".")*$B$44</f>
        <v>687.41750000000002</v>
      </c>
      <c r="I44" s="38">
        <f>IFERROR(up_RadSpec!$G$15*I15,".")*$B$44</f>
        <v>0.55394816890668641</v>
      </c>
      <c r="J44" s="38">
        <f>IFERROR(up_RadSpec!$F$15*J15,".")*$B$44</f>
        <v>0</v>
      </c>
      <c r="K44" s="47">
        <f t="shared" si="11"/>
        <v>1</v>
      </c>
      <c r="L44" s="47">
        <f t="shared" si="11"/>
        <v>0.4253235940760236</v>
      </c>
      <c r="M44" s="47">
        <f t="shared" si="11"/>
        <v>0</v>
      </c>
      <c r="N44" s="47">
        <f t="shared" si="16"/>
        <v>1</v>
      </c>
      <c r="O44" s="47"/>
      <c r="P44" s="30">
        <f t="shared" ref="P44:T44" si="43">IFERROR(P15/$B44,0)</f>
        <v>0</v>
      </c>
      <c r="Q44" s="30">
        <f t="shared" si="43"/>
        <v>0</v>
      </c>
      <c r="R44" s="30">
        <f t="shared" si="43"/>
        <v>0</v>
      </c>
      <c r="S44" s="30">
        <f t="shared" si="43"/>
        <v>0</v>
      </c>
      <c r="T44" s="30">
        <f t="shared" si="43"/>
        <v>0</v>
      </c>
      <c r="U44" s="38">
        <f>IFERROR(up_RadSpec!$F$15*U15,".")*$B$44</f>
        <v>0</v>
      </c>
      <c r="V44" s="38">
        <f>IFERROR(up_RadSpec!$M$15*V15,".")*$B$44</f>
        <v>0</v>
      </c>
      <c r="W44" s="38">
        <f>IFERROR(up_RadSpec!$N$15*W15,".")*$B$44</f>
        <v>0</v>
      </c>
      <c r="X44" s="38">
        <f>IFERROR(up_RadSpec!$O$15*X15,".")*$B$44</f>
        <v>0</v>
      </c>
      <c r="Y44" s="38">
        <f>IFERROR(up_RadSpec!$K$15*Y15,".")*$B$44</f>
        <v>0</v>
      </c>
      <c r="Z44" s="47">
        <f t="shared" si="18"/>
        <v>0</v>
      </c>
      <c r="AA44" s="47">
        <f t="shared" si="13"/>
        <v>0</v>
      </c>
      <c r="AB44" s="47">
        <f t="shared" si="13"/>
        <v>0</v>
      </c>
      <c r="AC44" s="47">
        <f t="shared" si="13"/>
        <v>0</v>
      </c>
      <c r="AD44" s="47">
        <f t="shared" si="13"/>
        <v>0</v>
      </c>
      <c r="AE44" s="30">
        <f t="shared" ref="AE44:AG44" si="44">IFERROR(AE15/$B44,0)</f>
        <v>2.9094400418959372E-10</v>
      </c>
      <c r="AF44" s="30">
        <f t="shared" si="44"/>
        <v>6.3716736917521008E-6</v>
      </c>
      <c r="AG44" s="30">
        <f t="shared" si="44"/>
        <v>2.9093071968184571E-10</v>
      </c>
      <c r="AH44" s="38">
        <f>IFERROR(up_RadSpec!$G$15*AH15,".")*$B$44</f>
        <v>171854.375</v>
      </c>
      <c r="AI44" s="38">
        <f>IFERROR(up_RadSpec!$J$15*AI15,".")*$B$44</f>
        <v>7.8472317351598173</v>
      </c>
      <c r="AJ44" s="47">
        <f t="shared" si="20"/>
        <v>1</v>
      </c>
      <c r="AK44" s="47">
        <f t="shared" si="20"/>
        <v>0.99960916760030694</v>
      </c>
      <c r="AL44" s="47">
        <f t="shared" si="21"/>
        <v>1</v>
      </c>
    </row>
    <row r="45" spans="1:38" x14ac:dyDescent="0.25">
      <c r="A45" s="26" t="s">
        <v>20</v>
      </c>
      <c r="B45" s="26" t="s">
        <v>289</v>
      </c>
      <c r="C45" s="110"/>
      <c r="D45" s="27">
        <f>IFERROR(IF(AND(D46&lt;&gt;0,D47&lt;&gt;0),1/SUM(1/D46,1/D47),IF(AND(D46&lt;&gt;0,D47=0),1/(1/D46),IF(AND(D46=0,D47&lt;&gt;0),1/(1/D47),IF(AND(D46=0,D47=0),".")))),".")</f>
        <v>3.7411340967429224E-8</v>
      </c>
      <c r="E45" s="27">
        <f t="shared" ref="E45:G45" si="45">IFERROR(IF(AND(E46&lt;&gt;0,E47&lt;&gt;0),1/SUM(1/E46,1/E47),IF(AND(E46&lt;&gt;0,E47=0),1/(1/E46),IF(AND(E46=0,E47&lt;&gt;0),1/(1/E47),IF(AND(E46=0,E47=0),".")))),".")</f>
        <v>4.642530099925268E-5</v>
      </c>
      <c r="F45" s="27">
        <f t="shared" si="45"/>
        <v>5.9048070637520458E-5</v>
      </c>
      <c r="G45" s="28">
        <f t="shared" si="45"/>
        <v>3.7357567968265683E-8</v>
      </c>
      <c r="H45" s="45"/>
      <c r="I45" s="45"/>
      <c r="J45" s="45"/>
      <c r="K45" s="46">
        <f>IFERROR(IF(SUM(H46:H47)&gt;0.01,1-EXP(-SUM(H46:H47)),SUM(H46:H47)),".")</f>
        <v>1</v>
      </c>
      <c r="L45" s="46">
        <f>IFERROR(IF(SUM(I46:I47)&gt;0.01,1-EXP(-SUM(I46:I47)),SUM(I46:I47)),".")</f>
        <v>0.6593837972699812</v>
      </c>
      <c r="M45" s="46">
        <f>IFERROR(IF(SUM(J46:J47)&gt;0.01,1-EXP(-SUM(J46:J47)),SUM(J46:J47)),".")</f>
        <v>0.57120130712342387</v>
      </c>
      <c r="N45" s="46">
        <f>IFERROR(IF(SUM(H46:J47)&gt;0.01,1-EXP(-SUM(H46:J47)),SUM(H46:J47)),".")</f>
        <v>1</v>
      </c>
      <c r="O45" s="46"/>
      <c r="P45" s="27">
        <f t="shared" ref="P45:T45" si="46">IFERROR(IF(AND(P46&lt;&gt;0,P47&lt;&gt;0),1/SUM(1/P46,1/P47),IF(AND(P46&lt;&gt;0,P47=0),1/(1/P46),IF(AND(P46=0,P47&lt;&gt;0),1/(1/P47),IF(AND(P46=0,P47=0),".")))),".")</f>
        <v>5.9048070637520458E-5</v>
      </c>
      <c r="Q45" s="27">
        <f t="shared" si="46"/>
        <v>1.0076093638201966E-4</v>
      </c>
      <c r="R45" s="27">
        <f t="shared" si="46"/>
        <v>7.1593162965805568E-5</v>
      </c>
      <c r="S45" s="27">
        <f t="shared" si="46"/>
        <v>6.2292726301887698E-5</v>
      </c>
      <c r="T45" s="27">
        <f t="shared" si="46"/>
        <v>1.6932322803805418E-4</v>
      </c>
      <c r="U45" s="45"/>
      <c r="V45" s="45"/>
      <c r="W45" s="45"/>
      <c r="X45" s="45"/>
      <c r="Y45" s="45"/>
      <c r="Z45" s="46">
        <f>IFERROR(IF(SUM(U46:U47)&gt;0.01,1-EXP(-SUM(U46:U47)),SUM(U46:U47)),".")</f>
        <v>0.57120130712342387</v>
      </c>
      <c r="AA45" s="46">
        <f t="shared" ref="AA45:AD45" si="47">IFERROR(IF(SUM(V46:V47)&gt;0.01,1-EXP(-SUM(V46:V47)),SUM(V46:V47)),".")</f>
        <v>0.391174781902628</v>
      </c>
      <c r="AB45" s="46">
        <f t="shared" si="47"/>
        <v>0.50261490365978645</v>
      </c>
      <c r="AC45" s="46">
        <f t="shared" si="47"/>
        <v>0.55186552818700774</v>
      </c>
      <c r="AD45" s="46">
        <f t="shared" si="47"/>
        <v>0.25568668668391492</v>
      </c>
      <c r="AE45" s="27">
        <f t="shared" ref="AE45:AG45" si="48">IFERROR(IF(AND(AE46&lt;&gt;0,AE47&lt;&gt;0),1/SUM(1/AE46,1/AE47),IF(AND(AE46&lt;&gt;0,AE47=0),1/(1/AE46),IF(AND(AE46=0,AE47&lt;&gt;0),1/(1/AE47),IF(AND(AE46=0,AE47=0),".")))),".")</f>
        <v>1.4964536386971689E-10</v>
      </c>
      <c r="AF45" s="27">
        <f t="shared" si="48"/>
        <v>3.2772334687468002E-6</v>
      </c>
      <c r="AG45" s="28">
        <f t="shared" si="48"/>
        <v>1.4963853106007947E-10</v>
      </c>
      <c r="AH45" s="45"/>
      <c r="AI45" s="45"/>
      <c r="AJ45" s="46">
        <f>IFERROR(IF(SUM(AH46:AH47)&gt;0.01,1-EXP(-SUM(AH46:AH47)),SUM(AH46:AH47)),".")</f>
        <v>1</v>
      </c>
      <c r="AK45" s="46">
        <f>IFERROR(IF(SUM(AI46:AI47)&gt;0.01,1-EXP(-SUM(AI46:AI47)),SUM(AI46:AI47)),".")</f>
        <v>0.99999976337064744</v>
      </c>
      <c r="AL45" s="46">
        <f>IFERROR(IF(SUM(AH46:AI47)&gt;0.01,1-EXP(-SUM(AH46:AI47)),SUM(AH46:AI47)),".")</f>
        <v>1</v>
      </c>
    </row>
    <row r="46" spans="1:38" x14ac:dyDescent="0.25">
      <c r="A46" s="29" t="s">
        <v>303</v>
      </c>
      <c r="B46" s="24">
        <v>1</v>
      </c>
      <c r="C46" s="2"/>
      <c r="D46" s="30">
        <f>IFERROR(D10/$B46,0)</f>
        <v>7.272727272727274E-8</v>
      </c>
      <c r="E46" s="30">
        <f>IFERROR(E10/$B46,0)</f>
        <v>9.0250320889537203E-5</v>
      </c>
      <c r="F46" s="30">
        <f>IFERROR(F10/$B46,0)</f>
        <v>1.243844155844156E-4</v>
      </c>
      <c r="G46" s="30">
        <f t="shared" si="24"/>
        <v>7.2626283184640529E-8</v>
      </c>
      <c r="H46" s="38">
        <f>IFERROR(up_RadSpec!$I$10*H10,".")*$B$46</f>
        <v>687.5</v>
      </c>
      <c r="I46" s="38">
        <f>IFERROR(up_RadSpec!$G$10*I10,".")*$B$46</f>
        <v>0.55401465066476618</v>
      </c>
      <c r="J46" s="38">
        <f>IFERROR(up_RadSpec!$F$10*J10,".")*$B$46</f>
        <v>0.40197961911125962</v>
      </c>
      <c r="K46" s="47">
        <f t="shared" ref="K46:M47" si="49">IFERROR(IF(H46&gt;0.01,1-EXP(-H46),H46),".")</f>
        <v>1</v>
      </c>
      <c r="L46" s="47">
        <f t="shared" si="49"/>
        <v>0.42536179830386023</v>
      </c>
      <c r="M46" s="47">
        <f t="shared" si="49"/>
        <v>0.33100561974856413</v>
      </c>
      <c r="N46" s="47">
        <f t="shared" ref="N46:N47" si="50">IFERROR(IF(SUM(H46:J46)&gt;0.01,1-EXP(-SUM(H46:J46)),SUM(H46:J46)),".")</f>
        <v>1</v>
      </c>
      <c r="O46" s="47"/>
      <c r="P46" s="30">
        <f t="shared" ref="P46:T46" si="51">IFERROR(P10/$B46,0)</f>
        <v>1.243844155844156E-4</v>
      </c>
      <c r="Q46" s="30">
        <f t="shared" si="51"/>
        <v>1.9382395382395377E-4</v>
      </c>
      <c r="R46" s="30">
        <f t="shared" si="51"/>
        <v>1.3841566354189986E-4</v>
      </c>
      <c r="S46" s="30">
        <f t="shared" si="51"/>
        <v>1.2659729828404527E-4</v>
      </c>
      <c r="T46" s="30">
        <f t="shared" si="51"/>
        <v>3.2583425881855204E-4</v>
      </c>
      <c r="U46" s="38">
        <f>IFERROR(up_RadSpec!$F$10*U10,".")*$B46</f>
        <v>0.40197961911125962</v>
      </c>
      <c r="V46" s="38">
        <f>IFERROR(up_RadSpec!$M$10*V10,".")*$B46</f>
        <v>0.25796605122096494</v>
      </c>
      <c r="W46" s="38">
        <f>IFERROR(up_RadSpec!$N$10*W10,".")*$B46</f>
        <v>0.36123079368733796</v>
      </c>
      <c r="X46" s="38">
        <f>IFERROR(up_RadSpec!$O$10*X10,".")*$B46</f>
        <v>0.39495313626532091</v>
      </c>
      <c r="Y46" s="38">
        <f>IFERROR(up_RadSpec!$K$10*Y10,".")*$B46</f>
        <v>0.1534522495617737</v>
      </c>
      <c r="Z46" s="47">
        <f t="shared" ref="Z46:AD47" si="52">IFERROR(IF(U46&gt;0.01,1-EXP(-U46),U46),".")</f>
        <v>0.33100561974856413</v>
      </c>
      <c r="AA46" s="47">
        <f t="shared" si="52"/>
        <v>0.22737853878303305</v>
      </c>
      <c r="AB46" s="47">
        <f t="shared" si="52"/>
        <v>0.30318184132506232</v>
      </c>
      <c r="AC46" s="47">
        <f t="shared" si="52"/>
        <v>0.32628838884873157</v>
      </c>
      <c r="AD46" s="47">
        <f t="shared" si="52"/>
        <v>0.14225827923597545</v>
      </c>
      <c r="AE46" s="30">
        <f t="shared" ref="AE46:AG46" si="53">IFERROR(AE10/$B46,0)</f>
        <v>2.9090909090909094E-10</v>
      </c>
      <c r="AF46" s="30">
        <f t="shared" si="53"/>
        <v>6.3709090909090908E-6</v>
      </c>
      <c r="AG46" s="30">
        <f t="shared" si="53"/>
        <v>2.9089580799548386E-10</v>
      </c>
      <c r="AH46" s="38">
        <f>IFERROR(up_RadSpec!$G$10*AH10,".")*$B$46</f>
        <v>171875</v>
      </c>
      <c r="AI46" s="38">
        <f>IFERROR(up_RadSpec!$J$10*AI10,".")*$B$46</f>
        <v>7.8481735159817356</v>
      </c>
      <c r="AJ46" s="47">
        <f>IFERROR(IF(AH46&gt;0.01,1-EXP(-AH46),AH46),".")</f>
        <v>1</v>
      </c>
      <c r="AK46" s="47">
        <f>IFERROR(IF(AI46&gt;0.01,1-EXP(-AI46),AI46),".")</f>
        <v>0.99960953550549536</v>
      </c>
      <c r="AL46" s="47">
        <f>IFERROR(IF(SUM(AH46:AI46)&gt;0.01,1-EXP(-SUM(AH46:AI46)),SUM(AH46:AI46)),".")</f>
        <v>1</v>
      </c>
    </row>
    <row r="47" spans="1:38" x14ac:dyDescent="0.25">
      <c r="A47" s="29" t="s">
        <v>304</v>
      </c>
      <c r="B47" s="32">
        <v>0.94399</v>
      </c>
      <c r="C47" s="2"/>
      <c r="D47" s="30">
        <f>IFERROR(D6/$B$47,0)</f>
        <v>7.7042418592646894E-8</v>
      </c>
      <c r="E47" s="30">
        <f>IFERROR(E6/$B$47,0)</f>
        <v>9.5605166251270892E-5</v>
      </c>
      <c r="F47" s="30">
        <f>IFERROR(F6/$B$47,0)</f>
        <v>1.1241307978897435E-4</v>
      </c>
      <c r="G47" s="30">
        <f t="shared" si="24"/>
        <v>7.6927704729460629E-8</v>
      </c>
      <c r="H47" s="38">
        <f>IFERROR(up_RadSpec!$I$6*H6,".")*$B$47</f>
        <v>648.99312499999996</v>
      </c>
      <c r="I47" s="38">
        <f>IFERROR(up_RadSpec!$G$6*I6,".")*$B$47</f>
        <v>0.52298429008103264</v>
      </c>
      <c r="J47" s="38">
        <f>IFERROR(up_RadSpec!$F$6*J6,".")*$B$47</f>
        <v>0.44478809844781159</v>
      </c>
      <c r="K47" s="47">
        <f t="shared" si="49"/>
        <v>1</v>
      </c>
      <c r="L47" s="47">
        <f t="shared" si="49"/>
        <v>0.40725102903943111</v>
      </c>
      <c r="M47" s="47">
        <f t="shared" si="49"/>
        <v>0.35903991792066203</v>
      </c>
      <c r="N47" s="47">
        <f t="shared" si="50"/>
        <v>1</v>
      </c>
      <c r="O47" s="47"/>
      <c r="P47" s="30">
        <f t="shared" ref="P47:T47" si="54">IFERROR(P6/$B$47,0)</f>
        <v>1.1241307978897435E-4</v>
      </c>
      <c r="Q47" s="30">
        <f t="shared" si="54"/>
        <v>2.0985654256001779E-4</v>
      </c>
      <c r="R47" s="30">
        <f t="shared" si="54"/>
        <v>1.4829758047876028E-4</v>
      </c>
      <c r="S47" s="30">
        <f t="shared" si="54"/>
        <v>1.2263654992921189E-4</v>
      </c>
      <c r="T47" s="30">
        <f t="shared" si="54"/>
        <v>3.5250747652362091E-4</v>
      </c>
      <c r="U47" s="38">
        <f>IFERROR(up_RadSpec!$F$6*U6,".")*$B47</f>
        <v>0.44478809844781159</v>
      </c>
      <c r="V47" s="38">
        <f>IFERROR(up_RadSpec!$M$6*V6,".")*$B47</f>
        <v>0.2382579994412149</v>
      </c>
      <c r="W47" s="38">
        <f>IFERROR(up_RadSpec!$N$6*W6,".")*$B47</f>
        <v>0.33715991750223601</v>
      </c>
      <c r="X47" s="38">
        <f>IFERROR(up_RadSpec!$O$6*X6,".")*$B47</f>
        <v>0.40770879504406271</v>
      </c>
      <c r="Y47" s="38">
        <f>IFERROR(up_RadSpec!$K$6*Y6,".")*$B47</f>
        <v>0.14184096318493147</v>
      </c>
      <c r="Z47" s="47">
        <f t="shared" si="52"/>
        <v>0.35903991792066203</v>
      </c>
      <c r="AA47" s="47">
        <f t="shared" si="52"/>
        <v>0.21200063852950335</v>
      </c>
      <c r="AB47" s="47">
        <f t="shared" si="52"/>
        <v>0.28620531748765565</v>
      </c>
      <c r="AC47" s="47">
        <f t="shared" si="52"/>
        <v>0.33482744783454133</v>
      </c>
      <c r="AD47" s="47">
        <f t="shared" si="52"/>
        <v>0.13224074881994119</v>
      </c>
      <c r="AE47" s="30">
        <f t="shared" ref="AE47:AG47" si="55">IFERROR(AE6/$B$47,0)</f>
        <v>3.0816967437058755E-10</v>
      </c>
      <c r="AF47" s="30">
        <f t="shared" si="55"/>
        <v>6.7489158687158668E-6</v>
      </c>
      <c r="AG47" s="30">
        <f t="shared" si="55"/>
        <v>3.0815560333847168E-10</v>
      </c>
      <c r="AH47" s="38">
        <f>IFERROR(up_RadSpec!$G$6*AH6,".")*$B$47</f>
        <v>162248.28125</v>
      </c>
      <c r="AI47" s="38">
        <f>IFERROR(up_RadSpec!$J$6*AI6,".")*$B$47</f>
        <v>7.4085973173515987</v>
      </c>
      <c r="AJ47" s="47">
        <f>IFERROR(IF(AH47&gt;0.01,1-EXP(-AH47),AH47),".")</f>
        <v>1</v>
      </c>
      <c r="AK47" s="47">
        <f>IFERROR(IF(AI47&gt;0.01,1-EXP(-AI47),AI47),".")</f>
        <v>0.99939397984741163</v>
      </c>
      <c r="AL47" s="47">
        <f>IFERROR(IF(SUM(AH47:AI47)&gt;0.01,1-EXP(-SUM(AH47:AI47)),SUM(AH47:AI47)),".")</f>
        <v>1</v>
      </c>
    </row>
    <row r="48" spans="1:38" x14ac:dyDescent="0.25">
      <c r="A48" s="26" t="s">
        <v>33</v>
      </c>
      <c r="B48" s="26" t="s">
        <v>289</v>
      </c>
      <c r="C48" s="112"/>
      <c r="D48" s="27">
        <f>1/SUM(1/D49,1/D50,1/D51,1/D52,1/D53,1/D54,1/D55,1/D56,1/D57,1/D58,1/D59,1/D60,1/D61,1/D62)</f>
        <v>8.0808068615041138E-9</v>
      </c>
      <c r="E48" s="27">
        <f t="shared" ref="E48:G48" si="56">1/SUM(1/E49,1/E50,1/E51,1/E52,1/E53,1/E54,1/E55,1/E56,1/E57,1/E58,1/E59,1/E60,1/E61,1/E62)</f>
        <v>1.0027811919085404E-5</v>
      </c>
      <c r="F48" s="27">
        <f>1/SUM(1/F49,1/F50,1/F52,1/F54,1/F55,1/F56,1/F57,1/F58,1/F59,1/F60,1/F61,1/F62)</f>
        <v>1.4932650814396892E-5</v>
      </c>
      <c r="G48" s="28">
        <f t="shared" si="56"/>
        <v>8.0699379401667661E-9</v>
      </c>
      <c r="H48" s="45"/>
      <c r="I48" s="45"/>
      <c r="J48" s="45"/>
      <c r="K48" s="46">
        <f>IFERROR(IF(SUM(H49:H62)&gt;0.01,1-EXP(-SUM(H49:H62)),SUM(H49:H62)),".")</f>
        <v>1</v>
      </c>
      <c r="L48" s="46">
        <f>IFERROR(IF(SUM(I49:I62)&gt;0.01,1-EXP(-SUM(I49:I62)),SUM(I49:I62)),".")</f>
        <v>0.99316796437675869</v>
      </c>
      <c r="M48" s="46">
        <f>IFERROR(IF(SUM(J49:J62)&gt;0.01,1-EXP(-SUM(J49:J62)),SUM(J49:J62)),".")</f>
        <v>0.96485831761772423</v>
      </c>
      <c r="N48" s="46">
        <f>IFERROR(IF(SUM(H49:J62)&gt;0.01,1-EXP(-SUM(H49:J62)),SUM(H49:J62)),".")</f>
        <v>1</v>
      </c>
      <c r="O48" s="46"/>
      <c r="P48" s="27">
        <f t="shared" ref="P48:T48" si="57">1/SUM(1/P49,1/P50,1/P52,1/P54,1/P55,1/P56,1/P57,1/P58,1/P59,1/P60,1/P61,1/P62)</f>
        <v>1.4932650814396892E-5</v>
      </c>
      <c r="Q48" s="27">
        <f t="shared" si="57"/>
        <v>2.8109798395345646E-5</v>
      </c>
      <c r="R48" s="27">
        <f t="shared" si="57"/>
        <v>1.9992128403882058E-5</v>
      </c>
      <c r="S48" s="27">
        <f t="shared" si="57"/>
        <v>1.6917345376476338E-5</v>
      </c>
      <c r="T48" s="27">
        <f t="shared" si="57"/>
        <v>4.8348143812754144E-5</v>
      </c>
      <c r="U48" s="45"/>
      <c r="V48" s="45"/>
      <c r="W48" s="45"/>
      <c r="X48" s="45"/>
      <c r="Y48" s="45"/>
      <c r="Z48" s="46">
        <f>IFERROR(IF(SUM(U49:U62)&gt;0.01,1-EXP(-SUM(U49:U62)),SUM(U49:U62)),".")</f>
        <v>0.96485831761772423</v>
      </c>
      <c r="AA48" s="46">
        <f t="shared" ref="AA48:AD48" si="58">IFERROR(IF(SUM(V49:V62)&gt;0.01,1-EXP(-SUM(V49:V62)),SUM(V49:V62)),".")</f>
        <v>0.83114909780246937</v>
      </c>
      <c r="AB48" s="46">
        <f t="shared" si="58"/>
        <v>0.91799576091781543</v>
      </c>
      <c r="AC48" s="46">
        <f t="shared" si="58"/>
        <v>0.94794978981593636</v>
      </c>
      <c r="AD48" s="46">
        <f t="shared" si="58"/>
        <v>0.64447718894424977</v>
      </c>
      <c r="AE48" s="27">
        <f t="shared" ref="AE48:AG48" si="59">1/SUM(1/AE49,1/AE50,1/AE51,1/AE52,1/AE53,1/AE54,1/AE55,1/AE56,1/AE57,1/AE58,1/AE59,1/AE60,1/AE61,1/AE62)</f>
        <v>3.2323227446016452E-11</v>
      </c>
      <c r="AF48" s="27">
        <f t="shared" si="59"/>
        <v>7.0787868106776008E-7</v>
      </c>
      <c r="AG48" s="28">
        <f t="shared" si="59"/>
        <v>3.232175156694947E-11</v>
      </c>
      <c r="AH48" s="45"/>
      <c r="AI48" s="45"/>
      <c r="AJ48" s="46">
        <f>IFERROR(IF(SUM(AH49:AH62)&gt;0.01,1-EXP(-SUM(AH49:AH62)),SUM(AH49:AH62)),".")</f>
        <v>1</v>
      </c>
      <c r="AK48" s="46">
        <f>IFERROR(IF(SUM(AI49:AI62)&gt;0.01,1-EXP(-SUM(AI49:AI62)),SUM(AI49:AI62)),".")</f>
        <v>1</v>
      </c>
      <c r="AL48" s="46">
        <f>IFERROR(IF(SUM(AH49:AI62)&gt;0.01,1-EXP(-SUM(AH49:AI62)),SUM(AH49:AI62)),".")</f>
        <v>1</v>
      </c>
    </row>
    <row r="49" spans="1:38" x14ac:dyDescent="0.25">
      <c r="A49" s="29" t="s">
        <v>305</v>
      </c>
      <c r="B49" s="24">
        <v>1</v>
      </c>
      <c r="C49" s="109"/>
      <c r="D49" s="30">
        <f>IFERROR(D23/$B49,0)</f>
        <v>7.272727272727274E-8</v>
      </c>
      <c r="E49" s="30">
        <f>IFERROR(E23/$B49,0)</f>
        <v>9.0250320889537203E-5</v>
      </c>
      <c r="F49" s="30">
        <f>IFERROR(F23/$B49,0)</f>
        <v>8.7509808832122852E-5</v>
      </c>
      <c r="G49" s="30">
        <f t="shared" si="24"/>
        <v>7.2608418905717989E-8</v>
      </c>
      <c r="H49" s="38">
        <f>IFERROR(up_RadSpec!$I$23*H23,".")*$B$49</f>
        <v>687.5</v>
      </c>
      <c r="I49" s="38">
        <f>IFERROR(up_RadSpec!$G$23*I23,".")*$B$49</f>
        <v>0.55401465066476618</v>
      </c>
      <c r="J49" s="38">
        <f>IFERROR(up_RadSpec!$F$23*J23,".")*$B$49</f>
        <v>0.57136452092952295</v>
      </c>
      <c r="K49" s="47">
        <f t="shared" ref="K49:M62" si="60">IFERROR(IF(H49&gt;0.01,1-EXP(-H49),H49),".")</f>
        <v>1</v>
      </c>
      <c r="L49" s="47">
        <f t="shared" si="60"/>
        <v>0.42536179830386023</v>
      </c>
      <c r="M49" s="47">
        <f t="shared" si="60"/>
        <v>0.43524570635631121</v>
      </c>
      <c r="N49" s="47">
        <f t="shared" ref="N49:N62" si="61">IFERROR(IF(SUM(H49:J49)&gt;0.01,1-EXP(-SUM(H49:J49)),SUM(H49:J49)),".")</f>
        <v>1</v>
      </c>
      <c r="O49" s="47"/>
      <c r="P49" s="30">
        <f t="shared" ref="P49:T49" si="62">IFERROR(P23/$B49,0)</f>
        <v>8.7509808832122852E-5</v>
      </c>
      <c r="Q49" s="30">
        <f t="shared" si="62"/>
        <v>1.5576910604259012E-4</v>
      </c>
      <c r="R49" s="30">
        <f t="shared" si="62"/>
        <v>1.1014828321418575E-4</v>
      </c>
      <c r="S49" s="30">
        <f t="shared" si="62"/>
        <v>9.0137862137862126E-5</v>
      </c>
      <c r="T49" s="30">
        <f t="shared" si="62"/>
        <v>2.4520489219518341E-4</v>
      </c>
      <c r="U49" s="38">
        <f>IFERROR(up_RadSpec!$F$23*U23,".")*$B$49</f>
        <v>0.57136452092952295</v>
      </c>
      <c r="V49" s="38">
        <f>IFERROR(up_RadSpec!$M$23*V23,".")*$B$49</f>
        <v>0.32098791134057808</v>
      </c>
      <c r="W49" s="38">
        <f>IFERROR(up_RadSpec!$N$23*W23,".")*$B$49</f>
        <v>0.4539335388711771</v>
      </c>
      <c r="X49" s="38">
        <f>IFERROR(up_RadSpec!$O$23*X23,".")*$B$49</f>
        <v>0.55470585627521407</v>
      </c>
      <c r="Y49" s="38">
        <f>IFERROR(up_RadSpec!$K$23*Y23,".")*$B$49</f>
        <v>0.20391110288370567</v>
      </c>
      <c r="Z49" s="47">
        <f t="shared" ref="Z49:AD62" si="63">IFERROR(IF(U49&gt;0.01,1-EXP(-U49),U49),".")</f>
        <v>0.43524570635631121</v>
      </c>
      <c r="AA49" s="47">
        <f t="shared" si="63"/>
        <v>0.27456797956223555</v>
      </c>
      <c r="AB49" s="47">
        <f t="shared" si="63"/>
        <v>0.36487505703608714</v>
      </c>
      <c r="AC49" s="47">
        <f t="shared" si="63"/>
        <v>0.42575885421340587</v>
      </c>
      <c r="AD49" s="47">
        <f t="shared" si="63"/>
        <v>0.18446513333719061</v>
      </c>
      <c r="AE49" s="30">
        <f t="shared" ref="AE49:AG49" si="64">IFERROR(AE23/$B49,0)</f>
        <v>2.9090909090909094E-10</v>
      </c>
      <c r="AF49" s="30">
        <f t="shared" si="64"/>
        <v>6.3709090909090908E-6</v>
      </c>
      <c r="AG49" s="30">
        <f t="shared" si="64"/>
        <v>2.9089580799548386E-10</v>
      </c>
      <c r="AH49" s="38">
        <f>IFERROR(up_RadSpec!$G$23*AH23,".")*$B$49</f>
        <v>171875</v>
      </c>
      <c r="AI49" s="38">
        <f>IFERROR(up_RadSpec!$J$23*AI23,".")*$B$49</f>
        <v>7.8481735159817356</v>
      </c>
      <c r="AJ49" s="47">
        <f t="shared" ref="AJ49:AK62" si="65">IFERROR(IF(AH49&gt;0.01,1-EXP(-AH49),AH49),".")</f>
        <v>1</v>
      </c>
      <c r="AK49" s="47">
        <f t="shared" si="65"/>
        <v>0.99960953550549536</v>
      </c>
      <c r="AL49" s="47">
        <f t="shared" ref="AL49:AL62" si="66">IFERROR(IF(SUM(AH49:AI49)&gt;0.01,1-EXP(-SUM(AH49:AI49)),SUM(AH49:AI49)),".")</f>
        <v>1</v>
      </c>
    </row>
    <row r="50" spans="1:38" x14ac:dyDescent="0.25">
      <c r="A50" s="29" t="s">
        <v>306</v>
      </c>
      <c r="B50" s="24">
        <v>1</v>
      </c>
      <c r="C50" s="109"/>
      <c r="D50" s="30">
        <f>IFERROR(D25/$B50,0)</f>
        <v>7.272727272727274E-8</v>
      </c>
      <c r="E50" s="30">
        <f>IFERROR(E25/$B50,0)</f>
        <v>9.0250320889537203E-5</v>
      </c>
      <c r="F50" s="30">
        <f>IFERROR(F25/$B50,0)</f>
        <v>1.2792990142387737E-4</v>
      </c>
      <c r="G50" s="30">
        <f t="shared" si="24"/>
        <v>7.2627458440391871E-8</v>
      </c>
      <c r="H50" s="38">
        <f>IFERROR(up_RadSpec!$I$25*H25,".")*$B$50</f>
        <v>687.5</v>
      </c>
      <c r="I50" s="38">
        <f>IFERROR(up_RadSpec!$G$25*I25,".")*$B$50</f>
        <v>0.55401465066476618</v>
      </c>
      <c r="J50" s="38">
        <f>IFERROR(up_RadSpec!$F$25*J25,".")*$B$50</f>
        <v>0.3908390410958904</v>
      </c>
      <c r="K50" s="47">
        <f t="shared" si="60"/>
        <v>1</v>
      </c>
      <c r="L50" s="47">
        <f t="shared" si="60"/>
        <v>0.42536179830386023</v>
      </c>
      <c r="M50" s="47">
        <f t="shared" si="60"/>
        <v>0.32351096578981275</v>
      </c>
      <c r="N50" s="47">
        <f t="shared" si="61"/>
        <v>1</v>
      </c>
      <c r="O50" s="47"/>
      <c r="P50" s="30">
        <f t="shared" ref="P50:T50" si="67">IFERROR(P25/$B50,0)</f>
        <v>1.2792990142387737E-4</v>
      </c>
      <c r="Q50" s="30">
        <f t="shared" si="67"/>
        <v>2.2909590638404192E-4</v>
      </c>
      <c r="R50" s="30">
        <f t="shared" si="67"/>
        <v>1.6433173568005034E-4</v>
      </c>
      <c r="S50" s="30">
        <f t="shared" si="67"/>
        <v>1.4674410335427284E-4</v>
      </c>
      <c r="T50" s="30">
        <f t="shared" si="67"/>
        <v>4.1074380165289254E-4</v>
      </c>
      <c r="U50" s="38">
        <f>IFERROR(up_RadSpec!$F$25*U25,".")*$B$50</f>
        <v>0.3908390410958904</v>
      </c>
      <c r="V50" s="38">
        <f>IFERROR(up_RadSpec!$M$25*V25,".")*$B$50</f>
        <v>0.21824920745717372</v>
      </c>
      <c r="W50" s="38">
        <f>IFERROR(up_RadSpec!$N$25*W25,".")*$B$50</f>
        <v>0.30426259293791386</v>
      </c>
      <c r="X50" s="38">
        <f>IFERROR(up_RadSpec!$O$25*X25,".")*$B$50</f>
        <v>0.34072919359007497</v>
      </c>
      <c r="Y50" s="38">
        <f>IFERROR(up_RadSpec!$K$25*Y25,".")*$B$50</f>
        <v>0.1217303822937626</v>
      </c>
      <c r="Z50" s="47">
        <f t="shared" si="63"/>
        <v>0.32351096578981275</v>
      </c>
      <c r="AA50" s="47">
        <f t="shared" si="63"/>
        <v>0.1960749274222342</v>
      </c>
      <c r="AB50" s="47">
        <f t="shared" si="63"/>
        <v>0.26233286516471155</v>
      </c>
      <c r="AC50" s="47">
        <f t="shared" si="63"/>
        <v>0.28874850640791216</v>
      </c>
      <c r="AD50" s="47">
        <f t="shared" si="63"/>
        <v>0.1146129476493275</v>
      </c>
      <c r="AE50" s="30">
        <f t="shared" ref="AE50:AG50" si="68">IFERROR(AE25/$B50,0)</f>
        <v>2.9090909090909094E-10</v>
      </c>
      <c r="AF50" s="30">
        <f t="shared" si="68"/>
        <v>6.3709090909090908E-6</v>
      </c>
      <c r="AG50" s="30">
        <f t="shared" si="68"/>
        <v>2.9089580799548386E-10</v>
      </c>
      <c r="AH50" s="38">
        <f>IFERROR(up_RadSpec!$G$25*AH$25,".")*$B$50</f>
        <v>171875</v>
      </c>
      <c r="AI50" s="38">
        <f>IFERROR(up_RadSpec!$J$25*AI25,".")*$B$50</f>
        <v>7.8481735159817356</v>
      </c>
      <c r="AJ50" s="47">
        <f t="shared" si="65"/>
        <v>1</v>
      </c>
      <c r="AK50" s="47">
        <f t="shared" si="65"/>
        <v>0.99960953550549536</v>
      </c>
      <c r="AL50" s="47">
        <f t="shared" si="66"/>
        <v>1</v>
      </c>
    </row>
    <row r="51" spans="1:38" x14ac:dyDescent="0.25">
      <c r="A51" s="29" t="s">
        <v>307</v>
      </c>
      <c r="B51" s="24">
        <v>1</v>
      </c>
      <c r="C51" s="109"/>
      <c r="D51" s="30">
        <f>IFERROR(D21/$B51,0)</f>
        <v>7.272727272727274E-8</v>
      </c>
      <c r="E51" s="30">
        <f>IFERROR(E21/$B51,0)</f>
        <v>9.0250320889537203E-5</v>
      </c>
      <c r="F51" s="30">
        <f>IFERROR(F21/$B51,0)</f>
        <v>0</v>
      </c>
      <c r="G51" s="30">
        <f t="shared" si="24"/>
        <v>7.26687134081846E-8</v>
      </c>
      <c r="H51" s="38">
        <f>IFERROR(up_RadSpec!$I$21*H21,".")*$B$51</f>
        <v>687.5</v>
      </c>
      <c r="I51" s="38">
        <f>IFERROR(up_RadSpec!$G$21*I21,".")*$B$51</f>
        <v>0.55401465066476618</v>
      </c>
      <c r="J51" s="38">
        <f>IFERROR(up_RadSpec!$F$21*J21,".")*$B$51</f>
        <v>0</v>
      </c>
      <c r="K51" s="47">
        <f t="shared" si="60"/>
        <v>1</v>
      </c>
      <c r="L51" s="47">
        <f t="shared" si="60"/>
        <v>0.42536179830386023</v>
      </c>
      <c r="M51" s="47">
        <f t="shared" si="60"/>
        <v>0</v>
      </c>
      <c r="N51" s="47">
        <f t="shared" si="61"/>
        <v>1</v>
      </c>
      <c r="O51" s="47"/>
      <c r="P51" s="30">
        <f t="shared" ref="P51:T51" si="69">IFERROR(P21/$B51,0)</f>
        <v>0</v>
      </c>
      <c r="Q51" s="30">
        <f t="shared" si="69"/>
        <v>0</v>
      </c>
      <c r="R51" s="30">
        <f t="shared" si="69"/>
        <v>0</v>
      </c>
      <c r="S51" s="30">
        <f t="shared" si="69"/>
        <v>0</v>
      </c>
      <c r="T51" s="30">
        <f t="shared" si="69"/>
        <v>0</v>
      </c>
      <c r="U51" s="38">
        <f>IFERROR(up_RadSpec!$F$21*U21,".")*$B$51</f>
        <v>0</v>
      </c>
      <c r="V51" s="38">
        <f>IFERROR(up_RadSpec!$M$21*V21,".")*$B$51</f>
        <v>0</v>
      </c>
      <c r="W51" s="38">
        <f>IFERROR(up_RadSpec!$N$21*W21,".")*$B$51</f>
        <v>0</v>
      </c>
      <c r="X51" s="38">
        <f>IFERROR(up_RadSpec!$O$21*X21,".")*$B$51</f>
        <v>0</v>
      </c>
      <c r="Y51" s="38">
        <f>IFERROR(up_RadSpec!$K$21*Y21,".")*$B$51</f>
        <v>0</v>
      </c>
      <c r="Z51" s="47">
        <f t="shared" si="63"/>
        <v>0</v>
      </c>
      <c r="AA51" s="47">
        <f t="shared" si="63"/>
        <v>0</v>
      </c>
      <c r="AB51" s="47">
        <f t="shared" si="63"/>
        <v>0</v>
      </c>
      <c r="AC51" s="47">
        <f t="shared" si="63"/>
        <v>0</v>
      </c>
      <c r="AD51" s="47">
        <f t="shared" si="63"/>
        <v>0</v>
      </c>
      <c r="AE51" s="30">
        <f t="shared" ref="AE51:AG51" si="70">IFERROR(AE21/$B51,0)</f>
        <v>2.9090909090909094E-10</v>
      </c>
      <c r="AF51" s="30">
        <f t="shared" si="70"/>
        <v>6.3709090909090908E-6</v>
      </c>
      <c r="AG51" s="30">
        <f t="shared" si="70"/>
        <v>2.9089580799548386E-10</v>
      </c>
      <c r="AH51" s="38">
        <f>IFERROR(up_RadSpec!$G$21*AH21,".")*$B$51</f>
        <v>171875</v>
      </c>
      <c r="AI51" s="38">
        <f>IFERROR(up_RadSpec!$J$21*AI21,".")*$B$51</f>
        <v>7.8481735159817356</v>
      </c>
      <c r="AJ51" s="47">
        <f t="shared" si="65"/>
        <v>1</v>
      </c>
      <c r="AK51" s="47">
        <f t="shared" si="65"/>
        <v>0.99960953550549536</v>
      </c>
      <c r="AL51" s="47">
        <f t="shared" si="66"/>
        <v>1</v>
      </c>
    </row>
    <row r="52" spans="1:38" x14ac:dyDescent="0.25">
      <c r="A52" s="29" t="s">
        <v>308</v>
      </c>
      <c r="B52" s="32">
        <v>0.99980000000000002</v>
      </c>
      <c r="C52" s="109"/>
      <c r="D52" s="30">
        <f>IFERROR(D17/$B52,0)</f>
        <v>7.2741821091491036E-8</v>
      </c>
      <c r="E52" s="30">
        <f>IFERROR(E17/$B52,0)</f>
        <v>9.0268374564450091E-5</v>
      </c>
      <c r="F52" s="30">
        <f>IFERROR(F17/$B52,0)</f>
        <v>1.758557142361175E-4</v>
      </c>
      <c r="G52" s="30">
        <f t="shared" si="24"/>
        <v>7.2653221620976837E-8</v>
      </c>
      <c r="H52" s="38">
        <f>IFERROR(up_RadSpec!$I$17*H17,".")*$B$52</f>
        <v>687.36250000000007</v>
      </c>
      <c r="I52" s="38">
        <f>IFERROR(up_RadSpec!$G$17*I17,".")*$B$52</f>
        <v>0.55390384773463319</v>
      </c>
      <c r="J52" s="38">
        <f>IFERROR(up_RadSpec!$F$17*J17,".")*$B$52</f>
        <v>0.28432399946279902</v>
      </c>
      <c r="K52" s="47">
        <f t="shared" si="60"/>
        <v>1</v>
      </c>
      <c r="L52" s="47">
        <f t="shared" si="60"/>
        <v>0.42529812317971594</v>
      </c>
      <c r="M52" s="47">
        <f t="shared" si="60"/>
        <v>0.24747721177548387</v>
      </c>
      <c r="N52" s="47">
        <f t="shared" si="61"/>
        <v>1</v>
      </c>
      <c r="O52" s="47"/>
      <c r="P52" s="30">
        <f t="shared" ref="P52:T52" si="71">IFERROR(P17/$B52,0)</f>
        <v>1.758557142361175E-4</v>
      </c>
      <c r="Q52" s="30">
        <f t="shared" si="71"/>
        <v>3.0734463801981832E-4</v>
      </c>
      <c r="R52" s="30">
        <f t="shared" si="71"/>
        <v>2.3155788426489627E-4</v>
      </c>
      <c r="S52" s="30">
        <f t="shared" si="71"/>
        <v>2.0590855862606458E-4</v>
      </c>
      <c r="T52" s="30">
        <f t="shared" si="71"/>
        <v>5.8891415779615858E-4</v>
      </c>
      <c r="U52" s="38">
        <f>IFERROR(up_RadSpec!$F$17*U17,".")*$B$52</f>
        <v>0.28432399946279902</v>
      </c>
      <c r="V52" s="38">
        <f>IFERROR(up_RadSpec!$M$17*V17,".")*$B$52</f>
        <v>0.162683820749708</v>
      </c>
      <c r="W52" s="38">
        <f>IFERROR(up_RadSpec!$N$17*W17,".")*$B$52</f>
        <v>0.2159287305579338</v>
      </c>
      <c r="X52" s="38">
        <f>IFERROR(up_RadSpec!$O$17*X17,".")*$B$52</f>
        <v>0.24282623477929999</v>
      </c>
      <c r="Y52" s="38">
        <f>IFERROR(up_RadSpec!$K$17*Y17,".")*$B$52</f>
        <v>8.490201727720488E-2</v>
      </c>
      <c r="Z52" s="47">
        <f t="shared" si="63"/>
        <v>0.24747721177548387</v>
      </c>
      <c r="AA52" s="47">
        <f t="shared" si="63"/>
        <v>0.15014014600940007</v>
      </c>
      <c r="AB52" s="47">
        <f t="shared" si="63"/>
        <v>0.19420727177475505</v>
      </c>
      <c r="AC52" s="47">
        <f t="shared" si="63"/>
        <v>0.21559219527479345</v>
      </c>
      <c r="AD52" s="47">
        <f t="shared" si="63"/>
        <v>8.1397712854711313E-2</v>
      </c>
      <c r="AE52" s="30">
        <f t="shared" ref="AE52:AG52" si="72">IFERROR(AE17/$B52,0)</f>
        <v>2.9096728436596413E-10</v>
      </c>
      <c r="AF52" s="30">
        <f t="shared" si="72"/>
        <v>6.3721835276146137E-6</v>
      </c>
      <c r="AG52" s="30">
        <f t="shared" si="72"/>
        <v>2.9095399879524292E-10</v>
      </c>
      <c r="AH52" s="38">
        <f>IFERROR(up_RadSpec!$G$17*AH17,".")*$B$52</f>
        <v>171840.625</v>
      </c>
      <c r="AI52" s="38">
        <f>IFERROR(up_RadSpec!$J$17*AI17,".")*$B$52</f>
        <v>7.846603881278539</v>
      </c>
      <c r="AJ52" s="47">
        <f t="shared" si="65"/>
        <v>1</v>
      </c>
      <c r="AK52" s="47">
        <f t="shared" si="65"/>
        <v>0.99960892213761854</v>
      </c>
      <c r="AL52" s="47">
        <f t="shared" si="66"/>
        <v>1</v>
      </c>
    </row>
    <row r="53" spans="1:38" x14ac:dyDescent="0.25">
      <c r="A53" s="29" t="s">
        <v>309</v>
      </c>
      <c r="B53" s="24">
        <v>2.0000000000000001E-4</v>
      </c>
      <c r="C53" s="109"/>
      <c r="D53" s="30">
        <f>IFERROR(D5/$B53,0)</f>
        <v>3.6363636363636367E-4</v>
      </c>
      <c r="E53" s="30">
        <f>IFERROR(E5/$B53,0)</f>
        <v>0.45125160444768597</v>
      </c>
      <c r="F53" s="30">
        <f>IFERROR(F5/$B53,0)</f>
        <v>0</v>
      </c>
      <c r="G53" s="30">
        <f t="shared" si="24"/>
        <v>3.6334356704092303E-4</v>
      </c>
      <c r="H53" s="38">
        <f>IFERROR(up_RadSpec!$I$5*H5,".")*$B$53</f>
        <v>0.13750000000000001</v>
      </c>
      <c r="I53" s="38">
        <f>IFERROR(up_RadSpec!$G$5*I5,".")*$B$53</f>
        <v>1.1080293013295324E-4</v>
      </c>
      <c r="J53" s="38">
        <f>IFERROR(up_RadSpec!$F$5*J5,".")*$B$53</f>
        <v>0</v>
      </c>
      <c r="K53" s="47">
        <f t="shared" si="60"/>
        <v>0.12846565000284216</v>
      </c>
      <c r="L53" s="47">
        <f t="shared" si="60"/>
        <v>1.1080293013295324E-4</v>
      </c>
      <c r="M53" s="47">
        <f t="shared" si="60"/>
        <v>0</v>
      </c>
      <c r="N53" s="47">
        <f t="shared" si="61"/>
        <v>0.12856221321269123</v>
      </c>
      <c r="O53" s="47"/>
      <c r="P53" s="30">
        <f t="shared" ref="P53:T53" si="73">IFERROR(P5/$B53,0)</f>
        <v>0</v>
      </c>
      <c r="Q53" s="30">
        <f t="shared" si="73"/>
        <v>0</v>
      </c>
      <c r="R53" s="30">
        <f t="shared" si="73"/>
        <v>0</v>
      </c>
      <c r="S53" s="30">
        <f t="shared" si="73"/>
        <v>0</v>
      </c>
      <c r="T53" s="30">
        <f t="shared" si="73"/>
        <v>0</v>
      </c>
      <c r="U53" s="38">
        <f>IFERROR(up_RadSpec!$F$5*U5,".")*$B$53</f>
        <v>0</v>
      </c>
      <c r="V53" s="38">
        <f>IFERROR(up_RadSpec!$M$5*V5,".")*$B$53</f>
        <v>0</v>
      </c>
      <c r="W53" s="38">
        <f>IFERROR(up_RadSpec!$N$5*W5,".")*$B$53</f>
        <v>0</v>
      </c>
      <c r="X53" s="38">
        <f>IFERROR(up_RadSpec!$O$5*X5,".")*$B$53</f>
        <v>0</v>
      </c>
      <c r="Y53" s="38">
        <f>IFERROR(up_RadSpec!$K$5*Y5,".")*$B$53</f>
        <v>0</v>
      </c>
      <c r="Z53" s="47">
        <f t="shared" si="63"/>
        <v>0</v>
      </c>
      <c r="AA53" s="47">
        <f t="shared" si="63"/>
        <v>0</v>
      </c>
      <c r="AB53" s="47">
        <f t="shared" si="63"/>
        <v>0</v>
      </c>
      <c r="AC53" s="47">
        <f t="shared" si="63"/>
        <v>0</v>
      </c>
      <c r="AD53" s="47">
        <f t="shared" si="63"/>
        <v>0</v>
      </c>
      <c r="AE53" s="30">
        <f t="shared" ref="AE53:AG53" si="74">IFERROR(AE5/$B53,0)</f>
        <v>1.4545454545454546E-6</v>
      </c>
      <c r="AF53" s="30">
        <f t="shared" si="74"/>
        <v>3.1854545454545455E-2</v>
      </c>
      <c r="AG53" s="30">
        <f t="shared" si="74"/>
        <v>1.4544790399774192E-6</v>
      </c>
      <c r="AH53" s="38">
        <f>IFERROR(up_RadSpec!$G$5*AH5,".")*$B$53</f>
        <v>34.375</v>
      </c>
      <c r="AI53" s="38">
        <f>IFERROR(up_RadSpec!$J$5*AI5,".")*$B$53</f>
        <v>1.5696347031963472E-3</v>
      </c>
      <c r="AJ53" s="47">
        <f t="shared" si="65"/>
        <v>0.99999999999999878</v>
      </c>
      <c r="AK53" s="47">
        <f t="shared" si="65"/>
        <v>1.5696347031963472E-3</v>
      </c>
      <c r="AL53" s="47">
        <f t="shared" si="66"/>
        <v>0.99999999999999878</v>
      </c>
    </row>
    <row r="54" spans="1:38" x14ac:dyDescent="0.25">
      <c r="A54" s="29" t="s">
        <v>310</v>
      </c>
      <c r="B54" s="24">
        <v>0.99999979999999999</v>
      </c>
      <c r="C54" s="109"/>
      <c r="D54" s="30">
        <f>IFERROR(D9/$B54,0)</f>
        <v>7.2727287272730192E-8</v>
      </c>
      <c r="E54" s="30">
        <f>IFERROR(E9/$B54,0)</f>
        <v>9.0250338939604991E-5</v>
      </c>
      <c r="F54" s="30">
        <f>IFERROR(F9/$B54,0)</f>
        <v>6.5005466263427233E-5</v>
      </c>
      <c r="G54" s="30">
        <f t="shared" si="24"/>
        <v>7.258758326835589E-8</v>
      </c>
      <c r="H54" s="38">
        <f>IFERROR(up_RadSpec!$I$9*H9,".")*$B$54</f>
        <v>687.49986249999995</v>
      </c>
      <c r="I54" s="38">
        <f>IFERROR(up_RadSpec!$G$9*I9,".")*$B$54</f>
        <v>0.55401453986183602</v>
      </c>
      <c r="J54" s="38">
        <f>IFERROR(up_RadSpec!$F$9*J9,".")*$B$54</f>
        <v>0.76916608516244944</v>
      </c>
      <c r="K54" s="47">
        <f t="shared" si="60"/>
        <v>1</v>
      </c>
      <c r="L54" s="47">
        <f t="shared" si="60"/>
        <v>0.42536173463226024</v>
      </c>
      <c r="M54" s="47">
        <f t="shared" si="60"/>
        <v>0.53660065718349181</v>
      </c>
      <c r="N54" s="47">
        <f t="shared" si="61"/>
        <v>1</v>
      </c>
      <c r="O54" s="47"/>
      <c r="P54" s="30">
        <f t="shared" ref="P54:T54" si="75">IFERROR(P9/$B54,0)</f>
        <v>6.5005466263427233E-5</v>
      </c>
      <c r="Q54" s="30">
        <f t="shared" si="75"/>
        <v>1.3314207208295996E-4</v>
      </c>
      <c r="R54" s="30">
        <f t="shared" si="75"/>
        <v>9.3681367295272985E-5</v>
      </c>
      <c r="S54" s="30">
        <f t="shared" si="75"/>
        <v>7.7223155940498947E-5</v>
      </c>
      <c r="T54" s="30">
        <f t="shared" si="75"/>
        <v>2.3583182102630717E-4</v>
      </c>
      <c r="U54" s="38">
        <f>IFERROR(up_RadSpec!$F$9*U9,".")*$B$54</f>
        <v>0.76916608516244944</v>
      </c>
      <c r="V54" s="38">
        <f>IFERROR(up_RadSpec!$M$9*V9,".")*$B$54</f>
        <v>0.37553869500277376</v>
      </c>
      <c r="W54" s="38">
        <f>IFERROR(up_RadSpec!$N$9*W9,".")*$B$54</f>
        <v>0.53372406321105148</v>
      </c>
      <c r="X54" s="38">
        <f>IFERROR(up_RadSpec!$O$9*X9,".")*$B$54</f>
        <v>0.64747418557363035</v>
      </c>
      <c r="Y54" s="38">
        <f>IFERROR(up_RadSpec!$K$9*Y9,".")*$B$54</f>
        <v>0.21201549384814561</v>
      </c>
      <c r="Z54" s="47">
        <f t="shared" si="63"/>
        <v>0.53660065718349181</v>
      </c>
      <c r="AA54" s="47">
        <f t="shared" si="63"/>
        <v>0.31308086080384645</v>
      </c>
      <c r="AB54" s="47">
        <f t="shared" si="63"/>
        <v>0.41358295591982164</v>
      </c>
      <c r="AC54" s="47">
        <f t="shared" si="63"/>
        <v>0.47663396582411111</v>
      </c>
      <c r="AD54" s="47">
        <f t="shared" si="63"/>
        <v>0.19104783631258015</v>
      </c>
      <c r="AE54" s="30">
        <f t="shared" ref="AE54:AG54" si="76">IFERROR(AE9/$B54,0)</f>
        <v>2.9090914909092077E-10</v>
      </c>
      <c r="AF54" s="30">
        <f t="shared" si="76"/>
        <v>6.3709103650911641E-6</v>
      </c>
      <c r="AG54" s="30">
        <f t="shared" si="76"/>
        <v>2.908958661746571E-10</v>
      </c>
      <c r="AH54" s="38">
        <f>IFERROR(up_RadSpec!$G$9*AH9,".")*$B$54</f>
        <v>171874.96562500001</v>
      </c>
      <c r="AI54" s="38">
        <f>IFERROR(up_RadSpec!$J$9*AI9,".")*$B$54</f>
        <v>7.8481719463470325</v>
      </c>
      <c r="AJ54" s="47">
        <f t="shared" si="65"/>
        <v>1</v>
      </c>
      <c r="AK54" s="47">
        <f t="shared" si="65"/>
        <v>0.99960953489260818</v>
      </c>
      <c r="AL54" s="47">
        <f t="shared" si="66"/>
        <v>1</v>
      </c>
    </row>
    <row r="55" spans="1:38" x14ac:dyDescent="0.25">
      <c r="A55" s="29" t="s">
        <v>311</v>
      </c>
      <c r="B55" s="24">
        <v>1.9999999999999999E-7</v>
      </c>
      <c r="C55" s="109"/>
      <c r="D55" s="30">
        <f>IFERROR(D24/$B55,0)</f>
        <v>0.3636363636363637</v>
      </c>
      <c r="E55" s="30">
        <f>IFERROR(E24/$B55,0)</f>
        <v>451.25160444768602</v>
      </c>
      <c r="F55" s="30">
        <f>IFERROR(F24/$B55,0)</f>
        <v>573.59202844475692</v>
      </c>
      <c r="G55" s="30">
        <f t="shared" si="24"/>
        <v>0.36311355168755627</v>
      </c>
      <c r="H55" s="38">
        <f>IFERROR(up_RadSpec!$I$24*H24,".")*$B$55</f>
        <v>1.3749999999999998E-4</v>
      </c>
      <c r="I55" s="38">
        <f>IFERROR(up_RadSpec!$G$24*I24,".")*$B$55</f>
        <v>1.1080293013295323E-7</v>
      </c>
      <c r="J55" s="38">
        <f>IFERROR(up_RadSpec!$F$24*J24,".")*$B$55</f>
        <v>8.7169970153822576E-8</v>
      </c>
      <c r="K55" s="47">
        <f t="shared" si="60"/>
        <v>1.3749999999999998E-4</v>
      </c>
      <c r="L55" s="47">
        <f t="shared" si="60"/>
        <v>1.1080293013295323E-7</v>
      </c>
      <c r="M55" s="47">
        <f t="shared" si="60"/>
        <v>8.7169970153822576E-8</v>
      </c>
      <c r="N55" s="47">
        <f t="shared" si="61"/>
        <v>1.3769797290028675E-4</v>
      </c>
      <c r="O55" s="47"/>
      <c r="P55" s="30">
        <f t="shared" ref="P55:T55" si="77">IFERROR(P24/$B55,0)</f>
        <v>573.59202844475692</v>
      </c>
      <c r="Q55" s="30">
        <f t="shared" si="77"/>
        <v>1039.9309302827544</v>
      </c>
      <c r="R55" s="30">
        <f t="shared" si="77"/>
        <v>734.25843503879184</v>
      </c>
      <c r="S55" s="30">
        <f t="shared" si="77"/>
        <v>613.15340034157418</v>
      </c>
      <c r="T55" s="30">
        <f t="shared" si="77"/>
        <v>1728.371628371628</v>
      </c>
      <c r="U55" s="38">
        <f>IFERROR(up_RadSpec!$F$24*U24,".")*$B$55</f>
        <v>8.7169970153822576E-8</v>
      </c>
      <c r="V55" s="38">
        <f>IFERROR(up_RadSpec!$M$24*V24,".")*$B$55</f>
        <v>4.808011623080116E-8</v>
      </c>
      <c r="W55" s="38">
        <f>IFERROR(up_RadSpec!$N$24*W24,".")*$B$55</f>
        <v>6.8095915026646517E-8</v>
      </c>
      <c r="X55" s="38">
        <f>IFERROR(up_RadSpec!$O$24*X24,".")*$B$55</f>
        <v>8.1545662100456638E-8</v>
      </c>
      <c r="Y55" s="38">
        <f>IFERROR(up_RadSpec!$K$24*Y24,".")*$B$55</f>
        <v>2.8928963643720028E-8</v>
      </c>
      <c r="Z55" s="47">
        <f t="shared" si="63"/>
        <v>8.7169970153822576E-8</v>
      </c>
      <c r="AA55" s="47">
        <f t="shared" si="63"/>
        <v>4.808011623080116E-8</v>
      </c>
      <c r="AB55" s="47">
        <f t="shared" si="63"/>
        <v>6.8095915026646517E-8</v>
      </c>
      <c r="AC55" s="47">
        <f t="shared" si="63"/>
        <v>8.1545662100456638E-8</v>
      </c>
      <c r="AD55" s="47">
        <f t="shared" si="63"/>
        <v>2.8928963643720028E-8</v>
      </c>
      <c r="AE55" s="30">
        <f t="shared" ref="AE55:AG55" si="78">IFERROR(AE24/$B55,0)</f>
        <v>1.4545454545454547E-3</v>
      </c>
      <c r="AF55" s="30">
        <f t="shared" si="78"/>
        <v>31.854545454545455</v>
      </c>
      <c r="AG55" s="30">
        <f t="shared" si="78"/>
        <v>1.4544790399774194E-3</v>
      </c>
      <c r="AH55" s="38">
        <f>IFERROR(up_RadSpec!$G$24*AH24,".")*$B$55</f>
        <v>3.4374999999999996E-2</v>
      </c>
      <c r="AI55" s="38">
        <f>IFERROR(up_RadSpec!$J$24*AI24,".")*$B$55</f>
        <v>1.5696347031963471E-6</v>
      </c>
      <c r="AJ55" s="47">
        <f t="shared" si="65"/>
        <v>3.379089172316796E-2</v>
      </c>
      <c r="AK55" s="47">
        <f t="shared" si="65"/>
        <v>1.5696347031963471E-6</v>
      </c>
      <c r="AL55" s="47">
        <f t="shared" si="66"/>
        <v>3.3792408317324552E-2</v>
      </c>
    </row>
    <row r="56" spans="1:38" x14ac:dyDescent="0.25">
      <c r="A56" s="29" t="s">
        <v>312</v>
      </c>
      <c r="B56" s="24">
        <v>0.99979000004200003</v>
      </c>
      <c r="C56" s="109"/>
      <c r="D56" s="30">
        <f>IFERROR(D20/$B56,0)</f>
        <v>7.2742548659436027E-8</v>
      </c>
      <c r="E56" s="30">
        <f>IFERROR(E20/$B56,0)</f>
        <v>9.0269277434007028E-5</v>
      </c>
      <c r="F56" s="30">
        <f>IFERROR(F20/$B56,0)</f>
        <v>8.9867401056842032E-5</v>
      </c>
      <c r="G56" s="30">
        <f t="shared" si="24"/>
        <v>7.262523837538239E-8</v>
      </c>
      <c r="H56" s="38">
        <f>IFERROR(up_RadSpec!$I$20*H20,".")*$B$56</f>
        <v>687.35562502887501</v>
      </c>
      <c r="I56" s="38">
        <f>IFERROR(up_RadSpec!$G$20*I20,".")*$B$56</f>
        <v>0.55389830761139525</v>
      </c>
      <c r="J56" s="38">
        <f>IFERROR(up_RadSpec!$F$20*J20,".")*$B$56</f>
        <v>0.55637527526109842</v>
      </c>
      <c r="K56" s="47">
        <f t="shared" si="60"/>
        <v>1</v>
      </c>
      <c r="L56" s="47">
        <f t="shared" si="60"/>
        <v>0.42529493925167361</v>
      </c>
      <c r="M56" s="47">
        <f t="shared" si="60"/>
        <v>0.42671670353627811</v>
      </c>
      <c r="N56" s="47">
        <f t="shared" si="61"/>
        <v>1</v>
      </c>
      <c r="O56" s="47"/>
      <c r="P56" s="30">
        <f t="shared" ref="P56:T56" si="79">IFERROR(P20/$B56,0)</f>
        <v>8.9867401056842032E-5</v>
      </c>
      <c r="Q56" s="30">
        <f t="shared" si="79"/>
        <v>1.7722702620115083E-4</v>
      </c>
      <c r="R56" s="30">
        <f t="shared" si="79"/>
        <v>1.2400206440434081E-4</v>
      </c>
      <c r="S56" s="30">
        <f t="shared" si="79"/>
        <v>1.0412168729683984E-4</v>
      </c>
      <c r="T56" s="30">
        <f t="shared" si="79"/>
        <v>3.0198806940654388E-4</v>
      </c>
      <c r="U56" s="38">
        <f>IFERROR(up_RadSpec!$F$20*U20,".")*$B$56</f>
        <v>0.55637527526109842</v>
      </c>
      <c r="V56" s="38">
        <f>IFERROR(up_RadSpec!$M$20*V20,".")*$B$56</f>
        <v>0.28212401388065117</v>
      </c>
      <c r="W56" s="38">
        <f>IFERROR(up_RadSpec!$N$20*W20,".")*$B$56</f>
        <v>0.40321909348994439</v>
      </c>
      <c r="X56" s="38">
        <f>IFERROR(up_RadSpec!$O$20*X20,".")*$B$56</f>
        <v>0.48020735447222762</v>
      </c>
      <c r="Y56" s="38">
        <f>IFERROR(up_RadSpec!$K$20*Y20,".")*$B$56</f>
        <v>0.16556945477434989</v>
      </c>
      <c r="Z56" s="47">
        <f t="shared" si="63"/>
        <v>0.42671670353627811</v>
      </c>
      <c r="AA56" s="47">
        <f t="shared" si="63"/>
        <v>0.24581985007368845</v>
      </c>
      <c r="AB56" s="47">
        <f t="shared" si="63"/>
        <v>0.3318343074676795</v>
      </c>
      <c r="AC56" s="47">
        <f t="shared" si="63"/>
        <v>0.3813449023958424</v>
      </c>
      <c r="AD56" s="47">
        <f t="shared" si="63"/>
        <v>0.15258899557915917</v>
      </c>
      <c r="AE56" s="30">
        <f t="shared" ref="AE56:AG56" si="80">IFERROR(AE20/$B56,0)</f>
        <v>2.9097019463774413E-10</v>
      </c>
      <c r="AF56" s="30">
        <f t="shared" si="80"/>
        <v>6.372247262566595E-6</v>
      </c>
      <c r="AG56" s="30">
        <f t="shared" si="80"/>
        <v>2.9095690893413982E-10</v>
      </c>
      <c r="AH56" s="38">
        <f>IFERROR(up_RadSpec!$G$20*AH20,".")*$B$56</f>
        <v>171838.90625721877</v>
      </c>
      <c r="AI56" s="38">
        <f>IFERROR(up_RadSpec!$J$20*AI20,".")*$B$56</f>
        <v>7.8465253998730029</v>
      </c>
      <c r="AJ56" s="47">
        <f t="shared" si="65"/>
        <v>1</v>
      </c>
      <c r="AK56" s="47">
        <f t="shared" si="65"/>
        <v>0.99960889144407383</v>
      </c>
      <c r="AL56" s="47">
        <f t="shared" si="66"/>
        <v>1</v>
      </c>
    </row>
    <row r="57" spans="1:38" x14ac:dyDescent="0.25">
      <c r="A57" s="29" t="s">
        <v>313</v>
      </c>
      <c r="B57" s="24">
        <v>2.0999995799999999E-4</v>
      </c>
      <c r="C57" s="109"/>
      <c r="D57" s="30">
        <f>IFERROR(D29/$B57,0)</f>
        <v>3.463204155844295E-4</v>
      </c>
      <c r="E57" s="30">
        <f>IFERROR(E29/$B57,0)</f>
        <v>0.42976351876002378</v>
      </c>
      <c r="F57" s="30">
        <f>IFERROR(F29/$B57,0)</f>
        <v>0.33673983031723742</v>
      </c>
      <c r="G57" s="30">
        <f t="shared" si="24"/>
        <v>3.456863264423006E-4</v>
      </c>
      <c r="H57" s="38">
        <f>IFERROR(up_RadSpec!$I$29*H29,".")*$B$57</f>
        <v>0.144374971125</v>
      </c>
      <c r="I57" s="38">
        <f>IFERROR(up_RadSpec!$G$29*I29,".")*$B$57</f>
        <v>1.1634305337098556E-4</v>
      </c>
      <c r="J57" s="38">
        <f>IFERROR(up_RadSpec!$F$29*J29,".")*$B$57</f>
        <v>1.4848258358061113E-4</v>
      </c>
      <c r="K57" s="47">
        <f t="shared" si="60"/>
        <v>0.13443687397805959</v>
      </c>
      <c r="L57" s="47">
        <f t="shared" si="60"/>
        <v>1.1634305337098556E-4</v>
      </c>
      <c r="M57" s="47">
        <f t="shared" si="60"/>
        <v>1.4848258358061113E-4</v>
      </c>
      <c r="N57" s="47">
        <f t="shared" si="61"/>
        <v>0.13466606693480532</v>
      </c>
      <c r="O57" s="47"/>
      <c r="P57" s="30">
        <f t="shared" ref="P57:T57" si="81">IFERROR(P29/$B57,0)</f>
        <v>0.33673983031723742</v>
      </c>
      <c r="Q57" s="30">
        <f t="shared" si="81"/>
        <v>0.67195274318526244</v>
      </c>
      <c r="R57" s="30">
        <f t="shared" si="81"/>
        <v>0.47869627640587936</v>
      </c>
      <c r="S57" s="30">
        <f t="shared" si="81"/>
        <v>0.40605802326954649</v>
      </c>
      <c r="T57" s="30">
        <f t="shared" si="81"/>
        <v>1.2066118115702964</v>
      </c>
      <c r="U57" s="38">
        <f>IFERROR(up_RadSpec!$F$29*U29,".")*$B$57</f>
        <v>1.4848258358061113E-4</v>
      </c>
      <c r="V57" s="38">
        <f>IFERROR(up_RadSpec!$M$29*V29,".")*$B$57</f>
        <v>7.4409994612098233E-5</v>
      </c>
      <c r="W57" s="38">
        <f>IFERROR(up_RadSpec!$N$29*W29,".")*$B$57</f>
        <v>1.0445036333979287E-4</v>
      </c>
      <c r="X57" s="38">
        <f>IFERROR(up_RadSpec!$O$29*X29,".")*$B$57</f>
        <v>1.2313511157199662E-4</v>
      </c>
      <c r="Y57" s="38">
        <f>IFERROR(up_RadSpec!$K$29*Y29,".")*$B$57</f>
        <v>4.1438347876712332E-5</v>
      </c>
      <c r="Z57" s="47">
        <f t="shared" si="63"/>
        <v>1.4848258358061113E-4</v>
      </c>
      <c r="AA57" s="47">
        <f t="shared" si="63"/>
        <v>7.4409994612098233E-5</v>
      </c>
      <c r="AB57" s="47">
        <f t="shared" si="63"/>
        <v>1.0445036333979287E-4</v>
      </c>
      <c r="AC57" s="47">
        <f t="shared" si="63"/>
        <v>1.2313511157199662E-4</v>
      </c>
      <c r="AD57" s="47">
        <f t="shared" si="63"/>
        <v>4.1438347876712332E-5</v>
      </c>
      <c r="AE57" s="30">
        <f t="shared" ref="AE57:AG57" si="82">IFERROR(AE29/$B57,0)</f>
        <v>1.385281662337718E-6</v>
      </c>
      <c r="AF57" s="30">
        <f t="shared" si="82"/>
        <v>3.0337668405196021E-2</v>
      </c>
      <c r="AG57" s="30">
        <f t="shared" si="82"/>
        <v>1.3852184103555101E-6</v>
      </c>
      <c r="AH57" s="38">
        <f>IFERROR(up_RadSpec!$G$29*AH29,".")*$B$57</f>
        <v>36.09374278125</v>
      </c>
      <c r="AI57" s="38">
        <f>IFERROR(up_RadSpec!$J$29*AI29,".")*$B$57</f>
        <v>1.6481161087328767E-3</v>
      </c>
      <c r="AJ57" s="47">
        <f t="shared" si="65"/>
        <v>0.99999999999999978</v>
      </c>
      <c r="AK57" s="47">
        <f t="shared" si="65"/>
        <v>1.6481161087328767E-3</v>
      </c>
      <c r="AL57" s="47">
        <f t="shared" si="66"/>
        <v>0.99999999999999978</v>
      </c>
    </row>
    <row r="58" spans="1:38" x14ac:dyDescent="0.25">
      <c r="A58" s="29" t="s">
        <v>314</v>
      </c>
      <c r="B58" s="24">
        <v>1</v>
      </c>
      <c r="C58" s="109"/>
      <c r="D58" s="30">
        <f>IFERROR(D16/$B58,0)</f>
        <v>7.272727272727274E-8</v>
      </c>
      <c r="E58" s="30">
        <f>IFERROR(E16/$B58,0)</f>
        <v>9.0250320889537203E-5</v>
      </c>
      <c r="F58" s="30">
        <f>IFERROR(F16/$B58,0)</f>
        <v>1.9123655075627644</v>
      </c>
      <c r="G58" s="30">
        <f t="shared" si="24"/>
        <v>7.2668710646818281E-8</v>
      </c>
      <c r="H58" s="38">
        <f>IFERROR(up_RadSpec!$I$16*H16,".")*$B$58</f>
        <v>687.5</v>
      </c>
      <c r="I58" s="38">
        <f>IFERROR(up_RadSpec!$G$16*I16,".")*$B$58</f>
        <v>0.55401465066476618</v>
      </c>
      <c r="J58" s="38">
        <f>IFERROR(up_RadSpec!$F$16*J16,".")*$B$58</f>
        <v>2.614562948467057E-5</v>
      </c>
      <c r="K58" s="47">
        <f t="shared" si="60"/>
        <v>1</v>
      </c>
      <c r="L58" s="47">
        <f t="shared" si="60"/>
        <v>0.42536179830386023</v>
      </c>
      <c r="M58" s="47">
        <f t="shared" si="60"/>
        <v>2.614562948467057E-5</v>
      </c>
      <c r="N58" s="47">
        <f t="shared" si="61"/>
        <v>1</v>
      </c>
      <c r="O58" s="47"/>
      <c r="P58" s="30">
        <f t="shared" ref="P58:T58" si="83">IFERROR(P16/$B58,0)</f>
        <v>1.9123655075627644</v>
      </c>
      <c r="Q58" s="30">
        <f t="shared" si="83"/>
        <v>3.4058573540280874</v>
      </c>
      <c r="R58" s="30">
        <f t="shared" si="83"/>
        <v>2.0460345140494445</v>
      </c>
      <c r="S58" s="30">
        <f t="shared" si="83"/>
        <v>2.0566062345115443</v>
      </c>
      <c r="T58" s="30">
        <f t="shared" si="83"/>
        <v>79.63636363636364</v>
      </c>
      <c r="U58" s="38">
        <f>IFERROR(up_RadSpec!$F$16*U16,".")*$B$58</f>
        <v>2.614562948467057E-5</v>
      </c>
      <c r="V58" s="38">
        <f>IFERROR(up_RadSpec!$M$16*V16,".")*$B$58</f>
        <v>1.4680591346805909E-5</v>
      </c>
      <c r="W58" s="38">
        <f>IFERROR(up_RadSpec!$N$16*W16,".")*$B$58</f>
        <v>2.4437515426385281E-5</v>
      </c>
      <c r="X58" s="38">
        <f>IFERROR(up_RadSpec!$O$16*X16,".")*$B$58</f>
        <v>2.4311897513952296E-5</v>
      </c>
      <c r="Y58" s="38">
        <f>IFERROR(up_RadSpec!$K$16*Y16,".")*$B$58</f>
        <v>6.2785388127853889E-7</v>
      </c>
      <c r="Z58" s="47">
        <f t="shared" si="63"/>
        <v>2.614562948467057E-5</v>
      </c>
      <c r="AA58" s="47">
        <f t="shared" si="63"/>
        <v>1.4680591346805909E-5</v>
      </c>
      <c r="AB58" s="47">
        <f t="shared" si="63"/>
        <v>2.4437515426385281E-5</v>
      </c>
      <c r="AC58" s="47">
        <f t="shared" si="63"/>
        <v>2.4311897513952296E-5</v>
      </c>
      <c r="AD58" s="47">
        <f t="shared" si="63"/>
        <v>6.2785388127853889E-7</v>
      </c>
      <c r="AE58" s="30">
        <f t="shared" ref="AE58:AG58" si="84">IFERROR(AE16/$B58,0)</f>
        <v>2.9090909090909094E-10</v>
      </c>
      <c r="AF58" s="30">
        <f t="shared" si="84"/>
        <v>6.3709090909090908E-6</v>
      </c>
      <c r="AG58" s="30">
        <f t="shared" si="84"/>
        <v>2.9089580799548386E-10</v>
      </c>
      <c r="AH58" s="38">
        <f>IFERROR(up_RadSpec!$G$16*AH16,".")*$B$58</f>
        <v>171875</v>
      </c>
      <c r="AI58" s="38">
        <f>IFERROR(up_RadSpec!$J$16*AI16,".")*$B$58</f>
        <v>7.8481735159817356</v>
      </c>
      <c r="AJ58" s="47">
        <f t="shared" si="65"/>
        <v>1</v>
      </c>
      <c r="AK58" s="47">
        <f t="shared" si="65"/>
        <v>0.99960953550549536</v>
      </c>
      <c r="AL58" s="47">
        <f t="shared" si="66"/>
        <v>1</v>
      </c>
    </row>
    <row r="59" spans="1:38" x14ac:dyDescent="0.25">
      <c r="A59" s="29" t="s">
        <v>315</v>
      </c>
      <c r="B59" s="24">
        <v>1</v>
      </c>
      <c r="C59" s="109"/>
      <c r="D59" s="30">
        <f>IFERROR(D7/$B59,0)</f>
        <v>7.272727272727274E-8</v>
      </c>
      <c r="E59" s="30">
        <f>IFERROR(E7/$B59,0)</f>
        <v>9.0250320889537203E-5</v>
      </c>
      <c r="F59" s="30">
        <f>IFERROR(F7/$B59,0)</f>
        <v>2.296084936960849E-4</v>
      </c>
      <c r="G59" s="30">
        <f t="shared" si="24"/>
        <v>7.2645721788615091E-8</v>
      </c>
      <c r="H59" s="38">
        <f>IFERROR(up_RadSpec!$I$7*H7,".")*$B$59</f>
        <v>687.5</v>
      </c>
      <c r="I59" s="38">
        <f>IFERROR(up_RadSpec!$G$7*I7,".")*$B$59</f>
        <v>0.55401465066476618</v>
      </c>
      <c r="J59" s="38">
        <f>IFERROR(up_RadSpec!$F$7*J7,".")*$B$59</f>
        <v>0.21776197907635406</v>
      </c>
      <c r="K59" s="47">
        <f t="shared" si="60"/>
        <v>1</v>
      </c>
      <c r="L59" s="47">
        <f t="shared" si="60"/>
        <v>0.42536179830386023</v>
      </c>
      <c r="M59" s="47">
        <f t="shared" si="60"/>
        <v>0.19568313687283501</v>
      </c>
      <c r="N59" s="47">
        <f t="shared" si="61"/>
        <v>1</v>
      </c>
      <c r="O59" s="47"/>
      <c r="P59" s="30">
        <f t="shared" ref="P59:T59" si="85">IFERROR(P7/$B59,0)</f>
        <v>2.296084936960849E-4</v>
      </c>
      <c r="Q59" s="30">
        <f t="shared" si="85"/>
        <v>3.6527883880825085E-4</v>
      </c>
      <c r="R59" s="30">
        <f t="shared" si="85"/>
        <v>2.6761363636363642E-4</v>
      </c>
      <c r="S59" s="30">
        <f t="shared" si="85"/>
        <v>2.461783991950872E-4</v>
      </c>
      <c r="T59" s="30">
        <f t="shared" si="85"/>
        <v>6.2510591013264789E-4</v>
      </c>
      <c r="U59" s="38">
        <f>IFERROR(up_RadSpec!$F$7*U7,".")*$B$59</f>
        <v>0.21776197907635406</v>
      </c>
      <c r="V59" s="38">
        <f>IFERROR(up_RadSpec!$M$7*V7,".")*$B$59</f>
        <v>0.13688173167416076</v>
      </c>
      <c r="W59" s="38">
        <f>IFERROR(up_RadSpec!$N$7*W7,".")*$B$59</f>
        <v>0.18683651804670912</v>
      </c>
      <c r="X59" s="38">
        <f>IFERROR(up_RadSpec!$O$7*X7,".")*$B$59</f>
        <v>0.20310474096623271</v>
      </c>
      <c r="Y59" s="38">
        <f>IFERROR(up_RadSpec!$K$7*Y7,".")*$B$59</f>
        <v>7.9986445799864497E-2</v>
      </c>
      <c r="Z59" s="47">
        <f t="shared" si="63"/>
        <v>0.19568313687283501</v>
      </c>
      <c r="AA59" s="47">
        <f t="shared" si="63"/>
        <v>0.127926641310527</v>
      </c>
      <c r="AB59" s="47">
        <f t="shared" si="63"/>
        <v>0.17042065344782142</v>
      </c>
      <c r="AC59" s="47">
        <f t="shared" si="63"/>
        <v>0.18380725186870839</v>
      </c>
      <c r="AD59" s="47">
        <f t="shared" si="63"/>
        <v>7.6871141424860734E-2</v>
      </c>
      <c r="AE59" s="30">
        <f t="shared" ref="AE59:AG59" si="86">IFERROR(AE7/$B59,0)</f>
        <v>2.9090909090909094E-10</v>
      </c>
      <c r="AF59" s="30">
        <f t="shared" si="86"/>
        <v>6.3709090909090908E-6</v>
      </c>
      <c r="AG59" s="30">
        <f t="shared" si="86"/>
        <v>2.9089580799548386E-10</v>
      </c>
      <c r="AH59" s="38">
        <f>IFERROR(up_RadSpec!$G$7*AH7,".")*$B$59</f>
        <v>171875</v>
      </c>
      <c r="AI59" s="38">
        <f>IFERROR(up_RadSpec!$J$7*AI7,".")*$B$59</f>
        <v>7.8481735159817356</v>
      </c>
      <c r="AJ59" s="47">
        <f t="shared" si="65"/>
        <v>1</v>
      </c>
      <c r="AK59" s="47">
        <f t="shared" si="65"/>
        <v>0.99960953550549536</v>
      </c>
      <c r="AL59" s="47">
        <f t="shared" si="66"/>
        <v>1</v>
      </c>
    </row>
    <row r="60" spans="1:38" x14ac:dyDescent="0.25">
      <c r="A60" s="29" t="s">
        <v>316</v>
      </c>
      <c r="B60" s="33">
        <v>1.9000000000000001E-8</v>
      </c>
      <c r="C60" s="109"/>
      <c r="D60" s="30">
        <f>IFERROR(D12/$B60,0)</f>
        <v>3.8277511961722492</v>
      </c>
      <c r="E60" s="30">
        <f>IFERROR(E12/$B60,0)</f>
        <v>4750.0168889230099</v>
      </c>
      <c r="F60" s="30">
        <f>IFERROR(F12/$B60,0)</f>
        <v>9379.2181998736123</v>
      </c>
      <c r="G60" s="30">
        <f t="shared" si="24"/>
        <v>3.823110134196559</v>
      </c>
      <c r="H60" s="38">
        <f>IFERROR(up_RadSpec!$I$12*H12,".")*$B$60</f>
        <v>1.3062500000000001E-5</v>
      </c>
      <c r="I60" s="38">
        <f>IFERROR(up_RadSpec!$G$12*I12,".")*$B$60</f>
        <v>1.0526278362630558E-8</v>
      </c>
      <c r="J60" s="38">
        <f>IFERROR(up_RadSpec!$F$12*J12,".")*$B$60</f>
        <v>5.3309347255268861E-9</v>
      </c>
      <c r="K60" s="47">
        <f t="shared" si="60"/>
        <v>1.3062500000000001E-5</v>
      </c>
      <c r="L60" s="47">
        <f t="shared" si="60"/>
        <v>1.0526278362630558E-8</v>
      </c>
      <c r="M60" s="47">
        <f t="shared" si="60"/>
        <v>5.3309347255268861E-9</v>
      </c>
      <c r="N60" s="47">
        <f t="shared" si="61"/>
        <v>1.3078357213088157E-5</v>
      </c>
      <c r="O60" s="47"/>
      <c r="P60" s="30">
        <f t="shared" ref="P60:T60" si="87">IFERROR(P12/$B60,0)</f>
        <v>9379.2181998736123</v>
      </c>
      <c r="Q60" s="30">
        <f t="shared" si="87"/>
        <v>16826.919002655908</v>
      </c>
      <c r="R60" s="30">
        <f t="shared" si="87"/>
        <v>12200.9909087059</v>
      </c>
      <c r="S60" s="30">
        <f t="shared" si="87"/>
        <v>10775.176662697248</v>
      </c>
      <c r="T60" s="30">
        <f t="shared" si="87"/>
        <v>29047.456303095401</v>
      </c>
      <c r="U60" s="38">
        <f>IFERROR(up_RadSpec!$F$12*U12,".")*$B$60</f>
        <v>5.3309347255268861E-9</v>
      </c>
      <c r="V60" s="38">
        <f>IFERROR(up_RadSpec!$M$12*V12,".")*$B$60</f>
        <v>2.9714292908944398E-9</v>
      </c>
      <c r="W60" s="38">
        <f>IFERROR(up_RadSpec!$N$12*W12,".")*$B$60</f>
        <v>4.0980278056205246E-9</v>
      </c>
      <c r="X60" s="38">
        <f>IFERROR(up_RadSpec!$O$12*X12,".")*$B$60</f>
        <v>4.6402951492290407E-9</v>
      </c>
      <c r="Y60" s="38">
        <f>IFERROR(up_RadSpec!$K$12*Y12,".")*$B$60</f>
        <v>1.7213211194218004E-9</v>
      </c>
      <c r="Z60" s="47">
        <f t="shared" si="63"/>
        <v>5.3309347255268861E-9</v>
      </c>
      <c r="AA60" s="47">
        <f t="shared" si="63"/>
        <v>2.9714292908944398E-9</v>
      </c>
      <c r="AB60" s="47">
        <f t="shared" si="63"/>
        <v>4.0980278056205246E-9</v>
      </c>
      <c r="AC60" s="47">
        <f t="shared" si="63"/>
        <v>4.6402951492290407E-9</v>
      </c>
      <c r="AD60" s="47">
        <f t="shared" si="63"/>
        <v>1.7213211194218004E-9</v>
      </c>
      <c r="AE60" s="30">
        <f t="shared" ref="AE60:AG60" si="88">IFERROR(AE12/$B60,0)</f>
        <v>1.5311004784688996E-2</v>
      </c>
      <c r="AF60" s="30">
        <f t="shared" si="88"/>
        <v>335.31100478468898</v>
      </c>
      <c r="AG60" s="30">
        <f t="shared" si="88"/>
        <v>1.5310305683972833E-2</v>
      </c>
      <c r="AH60" s="38">
        <f>IFERROR(up_RadSpec!$G$12*AH12,".")*$B$60</f>
        <v>3.2656250000000003E-3</v>
      </c>
      <c r="AI60" s="38">
        <f>IFERROR(up_RadSpec!$J$12*AI12,".")*$B$60</f>
        <v>1.4911529680365299E-7</v>
      </c>
      <c r="AJ60" s="47">
        <f t="shared" si="65"/>
        <v>3.2656250000000003E-3</v>
      </c>
      <c r="AK60" s="47">
        <f t="shared" si="65"/>
        <v>1.4911529680365299E-7</v>
      </c>
      <c r="AL60" s="47">
        <f t="shared" si="66"/>
        <v>3.2657741152968042E-3</v>
      </c>
    </row>
    <row r="61" spans="1:38" x14ac:dyDescent="0.25">
      <c r="A61" s="29" t="s">
        <v>317</v>
      </c>
      <c r="B61" s="24">
        <v>1</v>
      </c>
      <c r="C61" s="109"/>
      <c r="D61" s="30">
        <f>IFERROR(D18/$B61,0)</f>
        <v>7.272727272727274E-8</v>
      </c>
      <c r="E61" s="30">
        <f>IFERROR(E18/$B61,0)</f>
        <v>9.0250320889537203E-5</v>
      </c>
      <c r="F61" s="30">
        <f>IFERROR(F18/$B61,0)</f>
        <v>8.9547762454264033E-5</v>
      </c>
      <c r="G61" s="30">
        <f t="shared" si="24"/>
        <v>7.2609789992624135E-8</v>
      </c>
      <c r="H61" s="38">
        <f>IFERROR(up_RadSpec!$I$18*H18,".")*$B$61</f>
        <v>687.5</v>
      </c>
      <c r="I61" s="38">
        <f>IFERROR(up_RadSpec!$G$18*I18,".")*$B$61</f>
        <v>0.55401465066476618</v>
      </c>
      <c r="J61" s="38">
        <f>IFERROR(up_RadSpec!$F$18*J18,".")*$B$61</f>
        <v>0.55836124353790761</v>
      </c>
      <c r="K61" s="47">
        <f t="shared" si="60"/>
        <v>1</v>
      </c>
      <c r="L61" s="47">
        <f t="shared" si="60"/>
        <v>0.42536179830386023</v>
      </c>
      <c r="M61" s="47">
        <f t="shared" si="60"/>
        <v>0.42785409618998571</v>
      </c>
      <c r="N61" s="47">
        <f t="shared" si="61"/>
        <v>1</v>
      </c>
      <c r="O61" s="47"/>
      <c r="P61" s="30">
        <f t="shared" ref="P61:T61" si="89">IFERROR(P18/$B61,0)</f>
        <v>8.9547762454264033E-5</v>
      </c>
      <c r="Q61" s="30">
        <f t="shared" si="89"/>
        <v>1.7718902910121044E-4</v>
      </c>
      <c r="R61" s="30">
        <f t="shared" si="89"/>
        <v>1.2408469260888124E-4</v>
      </c>
      <c r="S61" s="30">
        <f t="shared" si="89"/>
        <v>1.0280640881722631E-4</v>
      </c>
      <c r="T61" s="30">
        <f t="shared" si="89"/>
        <v>3.0118881118881119E-4</v>
      </c>
      <c r="U61" s="38">
        <f>IFERROR(up_RadSpec!$F$18*U18,".")*$B$61</f>
        <v>0.55836124353790761</v>
      </c>
      <c r="V61" s="38">
        <f>IFERROR(up_RadSpec!$M$18*V18,".")*$B$61</f>
        <v>0.28218451364412633</v>
      </c>
      <c r="W61" s="38">
        <f>IFERROR(up_RadSpec!$N$18*W18,".")*$B$61</f>
        <v>0.40295058922055393</v>
      </c>
      <c r="X61" s="38">
        <f>IFERROR(up_RadSpec!$O$18*X18,".")*$B$61</f>
        <v>0.48635100258090125</v>
      </c>
      <c r="Y61" s="38">
        <f>IFERROR(up_RadSpec!$K$18*Y18,".")*$B$61</f>
        <v>0.16600882284652896</v>
      </c>
      <c r="Z61" s="47">
        <f t="shared" si="63"/>
        <v>0.42785409618998571</v>
      </c>
      <c r="AA61" s="47">
        <f t="shared" si="63"/>
        <v>0.24586547641417134</v>
      </c>
      <c r="AB61" s="47">
        <f t="shared" si="63"/>
        <v>0.33165487803886851</v>
      </c>
      <c r="AC61" s="47">
        <f t="shared" si="63"/>
        <v>0.38513405010283253</v>
      </c>
      <c r="AD61" s="47">
        <f t="shared" si="63"/>
        <v>0.15296123913655946</v>
      </c>
      <c r="AE61" s="30">
        <f t="shared" ref="AE61:AG61" si="90">IFERROR(AE18/$B61,0)</f>
        <v>2.9090909090909094E-10</v>
      </c>
      <c r="AF61" s="30">
        <f t="shared" si="90"/>
        <v>6.3709090909090908E-6</v>
      </c>
      <c r="AG61" s="30">
        <f t="shared" si="90"/>
        <v>2.9089580799548386E-10</v>
      </c>
      <c r="AH61" s="38">
        <f>IFERROR(up_RadSpec!$G$18*AH18,".")*$B$61</f>
        <v>171875</v>
      </c>
      <c r="AI61" s="38">
        <f>IFERROR(up_RadSpec!$J$18*AI18,".")*$B$61</f>
        <v>7.8481735159817356</v>
      </c>
      <c r="AJ61" s="47">
        <f t="shared" si="65"/>
        <v>1</v>
      </c>
      <c r="AK61" s="47">
        <f t="shared" si="65"/>
        <v>0.99960953550549536</v>
      </c>
      <c r="AL61" s="47">
        <f t="shared" si="66"/>
        <v>1</v>
      </c>
    </row>
    <row r="62" spans="1:38" x14ac:dyDescent="0.25">
      <c r="A62" s="29" t="s">
        <v>318</v>
      </c>
      <c r="B62" s="24">
        <v>1.339E-6</v>
      </c>
      <c r="C62" s="109"/>
      <c r="D62" s="30">
        <f>IFERROR(D27/$B62,0)</f>
        <v>5.4314617421413545E-2</v>
      </c>
      <c r="E62" s="30">
        <f>IFERROR(E27/$B62,0)</f>
        <v>67.401285205031513</v>
      </c>
      <c r="F62" s="30">
        <f>IFERROR(F27/$B62,0)</f>
        <v>109.75250882704346</v>
      </c>
      <c r="G62" s="30">
        <f t="shared" ref="G62" si="91">IFERROR(SUM(D62:F62),0)</f>
        <v>177.20810864949638</v>
      </c>
      <c r="H62" s="38">
        <f>IFERROR(up_RadSpec!$I$27*H27,".")*$B$62</f>
        <v>9.2056250000000005E-4</v>
      </c>
      <c r="I62" s="38">
        <f>IFERROR(up_RadSpec!$G$27*I27,".")*$B$62</f>
        <v>7.4182561724012188E-7</v>
      </c>
      <c r="J62" s="38">
        <f>IFERROR(up_RadSpec!$F$27*J27,".")*$B$62</f>
        <v>4.555704515037001E-7</v>
      </c>
      <c r="K62" s="47">
        <f t="shared" si="60"/>
        <v>9.2056250000000005E-4</v>
      </c>
      <c r="L62" s="47">
        <f t="shared" si="60"/>
        <v>7.4182561724012188E-7</v>
      </c>
      <c r="M62" s="47">
        <f t="shared" si="60"/>
        <v>4.555704515037001E-7</v>
      </c>
      <c r="N62" s="47">
        <f t="shared" si="61"/>
        <v>9.2175989606874391E-4</v>
      </c>
      <c r="O62" s="47"/>
      <c r="P62" s="30">
        <f t="shared" ref="P62:T62" si="92">IFERROR(P27/$B62,0)</f>
        <v>109.75250882704346</v>
      </c>
      <c r="Q62" s="30">
        <f t="shared" si="92"/>
        <v>325.54466483950409</v>
      </c>
      <c r="R62" s="30">
        <f t="shared" si="92"/>
        <v>199.5833593362278</v>
      </c>
      <c r="S62" s="30">
        <f t="shared" si="92"/>
        <v>145.18918352806816</v>
      </c>
      <c r="T62" s="30">
        <f t="shared" si="92"/>
        <v>1018.2979948572956</v>
      </c>
      <c r="U62" s="38">
        <f>IFERROR(up_RadSpec!$F$27*U27,".")*$B$62</f>
        <v>4.555704515037001E-7</v>
      </c>
      <c r="V62" s="38">
        <f>IFERROR(up_RadSpec!$M$27*V27,".")*$B$62</f>
        <v>1.5358875570776249E-7</v>
      </c>
      <c r="W62" s="38">
        <f>IFERROR(up_RadSpec!$N$27*W27,".")*$B$62</f>
        <v>2.5052188802858854E-7</v>
      </c>
      <c r="X62" s="38">
        <f>IFERROR(up_RadSpec!$O$27*X27,".")*$B$62</f>
        <v>3.4437827105993716E-7</v>
      </c>
      <c r="Y62" s="38">
        <f>IFERROR(up_RadSpec!$K$27*Y27,".")*$B$62</f>
        <v>4.9101540268678431E-8</v>
      </c>
      <c r="Z62" s="47">
        <f t="shared" si="63"/>
        <v>4.555704515037001E-7</v>
      </c>
      <c r="AA62" s="47">
        <f t="shared" si="63"/>
        <v>1.5358875570776249E-7</v>
      </c>
      <c r="AB62" s="47">
        <f t="shared" si="63"/>
        <v>2.5052188802858854E-7</v>
      </c>
      <c r="AC62" s="47">
        <f t="shared" si="63"/>
        <v>3.4437827105993716E-7</v>
      </c>
      <c r="AD62" s="47">
        <f t="shared" si="63"/>
        <v>4.9101540268678431E-8</v>
      </c>
      <c r="AE62" s="30">
        <f t="shared" ref="AE62:AG62" si="93">IFERROR(AE27/$B62,0)</f>
        <v>2.1725846968565418E-4</v>
      </c>
      <c r="AF62" s="30">
        <f t="shared" si="93"/>
        <v>4.7579604861158256</v>
      </c>
      <c r="AG62" s="30">
        <f t="shared" si="93"/>
        <v>2.1724854966055553E-4</v>
      </c>
      <c r="AH62" s="38">
        <f>IFERROR(up_RadSpec!$G$27*AH27,".")*$B$62</f>
        <v>0.23014062500000002</v>
      </c>
      <c r="AI62" s="38">
        <f>IFERROR(up_RadSpec!$J$27*AI27,".")*$B$62</f>
        <v>1.0508704337899545E-5</v>
      </c>
      <c r="AJ62" s="47">
        <f t="shared" si="65"/>
        <v>0.20557812092878014</v>
      </c>
      <c r="AK62" s="47">
        <f t="shared" si="65"/>
        <v>1.0508704337899545E-5</v>
      </c>
      <c r="AL62" s="47">
        <f t="shared" si="66"/>
        <v>0.20558646922956181</v>
      </c>
    </row>
    <row r="63" spans="1:38" x14ac:dyDescent="0.25">
      <c r="A63" s="26" t="s">
        <v>35</v>
      </c>
      <c r="B63" s="26" t="s">
        <v>289</v>
      </c>
      <c r="C63" s="110"/>
      <c r="D63" s="27">
        <f>1/SUM(1/D64,1/D65,1/D66,1/D67,1/D68,1/D69,1/D70,1/D71,1/D72,1/D73,1/D74,1/D75,1/D76)</f>
        <v>9.0909075477275343E-9</v>
      </c>
      <c r="E63" s="27">
        <f t="shared" ref="E63:G63" si="94">1/SUM(1/E64,1/E65,1/E66,1/E67,1/E68,1/E69,1/E70,1/E71,1/E72,1/E73,1/E74,1/E75,1/E76)</f>
        <v>1.1281288196193478E-5</v>
      </c>
      <c r="F63" s="27">
        <f>1/SUM(1/F64,1/F66,1/F68,1/F69,1/F70,1/F71,1/F72,1/F73,1/F74,1/F75,1/F76)</f>
        <v>1.8005023258220712E-5</v>
      </c>
      <c r="G63" s="28">
        <f t="shared" si="94"/>
        <v>9.0790072480004294E-9</v>
      </c>
      <c r="H63" s="45"/>
      <c r="I63" s="45"/>
      <c r="J63" s="45"/>
      <c r="K63" s="46">
        <f>IFERROR(IF(SUM(H64:H76)&gt;0.01,1-EXP(-SUM(H64:H76)),SUM(H64:H76)),".")</f>
        <v>1</v>
      </c>
      <c r="L63" s="46">
        <f>IFERROR(IF(SUM(I64:I76)&gt;0.01,1-EXP(-SUM(I64:I76)),SUM(I64:I76)),".")</f>
        <v>0.98811071800817374</v>
      </c>
      <c r="M63" s="46">
        <f>IFERROR(IF(SUM(J64:J76)&gt;0.01,1-EXP(-SUM(J64:J76)),SUM(J64:J76)),".")</f>
        <v>0.9377752718699166</v>
      </c>
      <c r="N63" s="46">
        <f>IFERROR(IF(SUM(H64:J76)&gt;0.01,1-EXP(-SUM(H64:J76)),SUM(H64:J76)),".")</f>
        <v>1</v>
      </c>
      <c r="O63" s="46"/>
      <c r="P63" s="27">
        <f t="shared" ref="P63:T63" si="95">1/SUM(1/P64,1/P66,1/P68,1/P69,1/P70,1/P71,1/P72,1/P73,1/P74,1/P75,1/P76)</f>
        <v>1.8005023258220712E-5</v>
      </c>
      <c r="Q63" s="27">
        <f t="shared" si="95"/>
        <v>3.4299403997863827E-5</v>
      </c>
      <c r="R63" s="27">
        <f t="shared" si="95"/>
        <v>2.4425383115757025E-5</v>
      </c>
      <c r="S63" s="27">
        <f t="shared" si="95"/>
        <v>2.0826039103941483E-5</v>
      </c>
      <c r="T63" s="27">
        <f t="shared" si="95"/>
        <v>6.0222478979551002E-5</v>
      </c>
      <c r="U63" s="45"/>
      <c r="V63" s="45"/>
      <c r="W63" s="45"/>
      <c r="X63" s="45"/>
      <c r="Y63" s="45"/>
      <c r="Z63" s="46">
        <f>IFERROR(IF(SUM(U64:U76)&gt;0.01,1-EXP(-SUM(U64:U76)),SUM(U64:U76)),".")</f>
        <v>0.9377752718699166</v>
      </c>
      <c r="AA63" s="46">
        <f t="shared" ref="AA63:AD63" si="96">IFERROR(IF(SUM(V64:V76)&gt;0.01,1-EXP(-SUM(V64:V76)),SUM(V64:V76)),".")</f>
        <v>0.76724090274421985</v>
      </c>
      <c r="AB63" s="46">
        <f t="shared" si="96"/>
        <v>0.87088487077912802</v>
      </c>
      <c r="AC63" s="46">
        <f t="shared" si="96"/>
        <v>0.90935827123156543</v>
      </c>
      <c r="AD63" s="46">
        <f t="shared" si="96"/>
        <v>0.56406178866323753</v>
      </c>
      <c r="AE63" s="27">
        <f t="shared" ref="AE63:AG63" si="97">1/SUM(1/AE64,1/AE65,1/AE66,1/AE67,1/AE68,1/AE69,1/AE70,1/AE71,1/AE72,1/AE73,1/AE74,1/AE75,1/AE76)</f>
        <v>3.6363630190910144E-11</v>
      </c>
      <c r="AF63" s="27">
        <f t="shared" si="97"/>
        <v>7.9636350118093191E-7</v>
      </c>
      <c r="AG63" s="28">
        <f t="shared" si="97"/>
        <v>3.6361969826991108E-11</v>
      </c>
      <c r="AH63" s="45"/>
      <c r="AI63" s="45"/>
      <c r="AJ63" s="46">
        <f>IFERROR(IF(SUM(AH64:AH76)&gt;0.01,1-EXP(-SUM(AH64:AH76)),SUM(AH64:AH76)),".")</f>
        <v>1</v>
      </c>
      <c r="AK63" s="46">
        <f>IFERROR(IF(SUM(AI64:AI76)&gt;0.01,1-EXP(-SUM(AI64:AI76)),SUM(AI64:AI76)),".")</f>
        <v>1</v>
      </c>
      <c r="AL63" s="46">
        <f>IFERROR(IF(SUM(AH64:AI76)&gt;0.01,1-EXP(-SUM(AH64:AI76)),SUM(AH64:AI76)),".")</f>
        <v>1</v>
      </c>
    </row>
    <row r="64" spans="1:38" x14ac:dyDescent="0.25">
      <c r="A64" s="29" t="s">
        <v>306</v>
      </c>
      <c r="B64" s="34">
        <v>1</v>
      </c>
      <c r="C64" s="2"/>
      <c r="D64" s="30">
        <f>IFERROR(D25/$B50,0)</f>
        <v>7.272727272727274E-8</v>
      </c>
      <c r="E64" s="30">
        <f>IFERROR(E25/$B50,0)</f>
        <v>9.0250320889537203E-5</v>
      </c>
      <c r="F64" s="30">
        <f>IFERROR(F25/$B50,0)</f>
        <v>1.2792990142387737E-4</v>
      </c>
      <c r="G64" s="30">
        <f t="shared" ref="G64:G76" si="98">IF(AND(D64&lt;&gt;0,E64&lt;&gt;0,F64&lt;&gt;0),1/((1/D64)+(1/E64)+(1/F64)),IF(AND(D64&lt;&gt;0,E64&lt;&gt;0,F64=0), 1/((1/D64)+(1/E64)),IF(AND(D64&lt;&gt;0,E64=0,F64&lt;&gt;0),1/((1/D64)+(1/F64)),IF(AND(D64=0,E64&lt;&gt;0,F64&lt;&gt;0),1/((1/E64)+(1/F64)),IF(AND(D64&lt;&gt;0,E64=0,F64=0),1/((1/D64)),IF(AND(D64=0,E64&lt;&gt;0,F64=0),1/((1/E64)),IF(AND(D64=0,E64=0,F64&lt;&gt;0),1/((1/F64)),IF(AND(D64=0,E64=0,F64=0),0))))))))</f>
        <v>7.2627458440391871E-8</v>
      </c>
      <c r="H64" s="38">
        <f>IFERROR(up_RadSpec!$I$25*H25,".")*$B$64</f>
        <v>687.5</v>
      </c>
      <c r="I64" s="38">
        <f>IFERROR(up_RadSpec!$G$25*I25,".")*$B$64</f>
        <v>0.55401465066476618</v>
      </c>
      <c r="J64" s="38">
        <f>IFERROR(up_RadSpec!$F$25*J25,".")*$B$64</f>
        <v>0.3908390410958904</v>
      </c>
      <c r="K64" s="47">
        <f t="shared" ref="K64:M76" si="99">IFERROR(IF(H64&gt;0.01,1-EXP(-H64),H64),".")</f>
        <v>1</v>
      </c>
      <c r="L64" s="47">
        <f t="shared" si="99"/>
        <v>0.42536179830386023</v>
      </c>
      <c r="M64" s="47">
        <f t="shared" si="99"/>
        <v>0.32351096578981275</v>
      </c>
      <c r="N64" s="47">
        <f t="shared" ref="N64:N76" si="100">IFERROR(IF(SUM(H64:J64)&gt;0.01,1-EXP(-SUM(H64:J64)),SUM(H64:J64)),".")</f>
        <v>1</v>
      </c>
      <c r="O64" s="47"/>
      <c r="P64" s="30">
        <f t="shared" ref="P64:T64" si="101">IFERROR(P25/$B50,0)</f>
        <v>1.2792990142387737E-4</v>
      </c>
      <c r="Q64" s="30">
        <f t="shared" si="101"/>
        <v>2.2909590638404192E-4</v>
      </c>
      <c r="R64" s="30">
        <f t="shared" si="101"/>
        <v>1.6433173568005034E-4</v>
      </c>
      <c r="S64" s="30">
        <f t="shared" si="101"/>
        <v>1.4674410335427284E-4</v>
      </c>
      <c r="T64" s="30">
        <f t="shared" si="101"/>
        <v>4.1074380165289254E-4</v>
      </c>
      <c r="U64" s="38">
        <f>IFERROR(up_RadSpec!$F$25*U25,".")*$B$64</f>
        <v>0.3908390410958904</v>
      </c>
      <c r="V64" s="38">
        <f>IFERROR(up_RadSpec!$M$25*V25,".")*$B$64</f>
        <v>0.21824920745717372</v>
      </c>
      <c r="W64" s="38">
        <f>IFERROR(up_RadSpec!$N$25*W25,".")*$B$64</f>
        <v>0.30426259293791386</v>
      </c>
      <c r="X64" s="38">
        <f>IFERROR(up_RadSpec!$O$25*X25,".")*$B$64</f>
        <v>0.34072919359007497</v>
      </c>
      <c r="Y64" s="38">
        <f>IFERROR(up_RadSpec!$K$25*Y25,".")*$B$64</f>
        <v>0.1217303822937626</v>
      </c>
      <c r="Z64" s="47">
        <f t="shared" ref="Z64:AD76" si="102">IFERROR(IF(U64&gt;0.01,1-EXP(-U64),U64),".")</f>
        <v>0.32351096578981275</v>
      </c>
      <c r="AA64" s="47">
        <f t="shared" si="102"/>
        <v>0.1960749274222342</v>
      </c>
      <c r="AB64" s="47">
        <f t="shared" si="102"/>
        <v>0.26233286516471155</v>
      </c>
      <c r="AC64" s="47">
        <f t="shared" si="102"/>
        <v>0.28874850640791216</v>
      </c>
      <c r="AD64" s="47">
        <f t="shared" si="102"/>
        <v>0.1146129476493275</v>
      </c>
      <c r="AE64" s="30">
        <f t="shared" ref="AE64:AG64" si="103">IFERROR(AE25/$B50,0)</f>
        <v>2.9090909090909094E-10</v>
      </c>
      <c r="AF64" s="30">
        <f t="shared" si="103"/>
        <v>6.3709090909090908E-6</v>
      </c>
      <c r="AG64" s="30">
        <f t="shared" si="103"/>
        <v>2.9089580799548386E-10</v>
      </c>
      <c r="AH64" s="38">
        <f>IFERROR(up_RadSpec!$G$25*AH25,".")*$B$64</f>
        <v>171875</v>
      </c>
      <c r="AI64" s="38">
        <f>IFERROR(up_RadSpec!$J$25*AI25,".")*$B$64</f>
        <v>7.8481735159817356</v>
      </c>
      <c r="AJ64" s="47">
        <f t="shared" ref="AJ64:AK76" si="104">IFERROR(IF(AH64&gt;0.01,1-EXP(-AH64),AH64),".")</f>
        <v>1</v>
      </c>
      <c r="AK64" s="47">
        <f t="shared" si="104"/>
        <v>0.99960953550549536</v>
      </c>
      <c r="AL64" s="47">
        <f t="shared" ref="AL64:AL76" si="105">IFERROR(IF(SUM(AH64:AI64)&gt;0.01,1-EXP(-SUM(AH64:AI64)),SUM(AH64:AI64)),".")</f>
        <v>1</v>
      </c>
    </row>
    <row r="65" spans="1:38" x14ac:dyDescent="0.25">
      <c r="A65" s="29" t="s">
        <v>307</v>
      </c>
      <c r="B65" s="34">
        <v>1</v>
      </c>
      <c r="C65" s="2"/>
      <c r="D65" s="30">
        <f>IFERROR(D21/$B51,0)</f>
        <v>7.272727272727274E-8</v>
      </c>
      <c r="E65" s="30">
        <f>IFERROR(E21/$B51,0)</f>
        <v>9.0250320889537203E-5</v>
      </c>
      <c r="F65" s="30">
        <f>IFERROR(F21/$B51,0)</f>
        <v>0</v>
      </c>
      <c r="G65" s="30">
        <f t="shared" si="98"/>
        <v>7.26687134081846E-8</v>
      </c>
      <c r="H65" s="38">
        <f>IFERROR(up_RadSpec!$I$21*H21,".")*$B$65</f>
        <v>687.5</v>
      </c>
      <c r="I65" s="38">
        <f>IFERROR(up_RadSpec!$G$21*I21,".")*$B$65</f>
        <v>0.55401465066476618</v>
      </c>
      <c r="J65" s="38">
        <f>IFERROR(up_RadSpec!$F$21*J21,".")*$B$65</f>
        <v>0</v>
      </c>
      <c r="K65" s="47">
        <f t="shared" si="99"/>
        <v>1</v>
      </c>
      <c r="L65" s="47">
        <f t="shared" si="99"/>
        <v>0.42536179830386023</v>
      </c>
      <c r="M65" s="47">
        <f t="shared" si="99"/>
        <v>0</v>
      </c>
      <c r="N65" s="47">
        <f t="shared" si="100"/>
        <v>1</v>
      </c>
      <c r="O65" s="47"/>
      <c r="P65" s="30">
        <f t="shared" ref="P65:T65" si="106">IFERROR(P21/$B51,0)</f>
        <v>0</v>
      </c>
      <c r="Q65" s="30">
        <f t="shared" si="106"/>
        <v>0</v>
      </c>
      <c r="R65" s="30">
        <f t="shared" si="106"/>
        <v>0</v>
      </c>
      <c r="S65" s="30">
        <f t="shared" si="106"/>
        <v>0</v>
      </c>
      <c r="T65" s="30">
        <f t="shared" si="106"/>
        <v>0</v>
      </c>
      <c r="U65" s="38">
        <f>IFERROR(up_RadSpec!$F$21*U21,".")*$B$65</f>
        <v>0</v>
      </c>
      <c r="V65" s="38">
        <f>IFERROR(up_RadSpec!$M$21*V21,".")*$B$65</f>
        <v>0</v>
      </c>
      <c r="W65" s="38">
        <f>IFERROR(up_RadSpec!$N$21*W21,".")*$B$65</f>
        <v>0</v>
      </c>
      <c r="X65" s="38">
        <f>IFERROR(up_RadSpec!$O$21*X21,".")*$B$65</f>
        <v>0</v>
      </c>
      <c r="Y65" s="38">
        <f>IFERROR(up_RadSpec!$K$21*Y21,".")*$B$65</f>
        <v>0</v>
      </c>
      <c r="Z65" s="47">
        <f t="shared" si="102"/>
        <v>0</v>
      </c>
      <c r="AA65" s="47">
        <f t="shared" si="102"/>
        <v>0</v>
      </c>
      <c r="AB65" s="47">
        <f t="shared" si="102"/>
        <v>0</v>
      </c>
      <c r="AC65" s="47">
        <f t="shared" si="102"/>
        <v>0</v>
      </c>
      <c r="AD65" s="47">
        <f t="shared" si="102"/>
        <v>0</v>
      </c>
      <c r="AE65" s="30">
        <f t="shared" ref="AE65:AG65" si="107">IFERROR(AE21/$B51,0)</f>
        <v>2.9090909090909094E-10</v>
      </c>
      <c r="AF65" s="30">
        <f t="shared" si="107"/>
        <v>6.3709090909090908E-6</v>
      </c>
      <c r="AG65" s="30">
        <f t="shared" si="107"/>
        <v>2.9089580799548386E-10</v>
      </c>
      <c r="AH65" s="38">
        <f>IFERROR(up_RadSpec!$G$21*AH21,".")*$B$65</f>
        <v>171875</v>
      </c>
      <c r="AI65" s="38">
        <f>IFERROR(up_RadSpec!$J$21*AI21,".")*$B$65</f>
        <v>7.8481735159817356</v>
      </c>
      <c r="AJ65" s="47">
        <f t="shared" si="104"/>
        <v>1</v>
      </c>
      <c r="AK65" s="47">
        <f t="shared" si="104"/>
        <v>0.99960953550549536</v>
      </c>
      <c r="AL65" s="47">
        <f t="shared" si="105"/>
        <v>1</v>
      </c>
    </row>
    <row r="66" spans="1:38" x14ac:dyDescent="0.25">
      <c r="A66" s="29" t="s">
        <v>308</v>
      </c>
      <c r="B66" s="35">
        <v>0.99980000000000002</v>
      </c>
      <c r="C66" s="2"/>
      <c r="D66" s="30">
        <f>IFERROR(D17/$B52,0)</f>
        <v>7.2741821091491036E-8</v>
      </c>
      <c r="E66" s="30">
        <f>IFERROR(E17/$B52,0)</f>
        <v>9.0268374564450091E-5</v>
      </c>
      <c r="F66" s="30">
        <f>IFERROR(F17/$B52,0)</f>
        <v>1.758557142361175E-4</v>
      </c>
      <c r="G66" s="30">
        <f t="shared" si="98"/>
        <v>7.2653221620976837E-8</v>
      </c>
      <c r="H66" s="38">
        <f>IFERROR(up_RadSpec!$I$17*H17,".")*$B$66</f>
        <v>687.36250000000007</v>
      </c>
      <c r="I66" s="38">
        <f>IFERROR(up_RadSpec!$G$17*I17,".")*$B$66</f>
        <v>0.55390384773463319</v>
      </c>
      <c r="J66" s="38">
        <f>IFERROR(up_RadSpec!$F$17*J17,".")*$B$66</f>
        <v>0.28432399946279902</v>
      </c>
      <c r="K66" s="47">
        <f t="shared" si="99"/>
        <v>1</v>
      </c>
      <c r="L66" s="47">
        <f t="shared" si="99"/>
        <v>0.42529812317971594</v>
      </c>
      <c r="M66" s="47">
        <f t="shared" si="99"/>
        <v>0.24747721177548387</v>
      </c>
      <c r="N66" s="47">
        <f t="shared" si="100"/>
        <v>1</v>
      </c>
      <c r="O66" s="47"/>
      <c r="P66" s="30">
        <f t="shared" ref="P66:T66" si="108">IFERROR(P17/$B52,0)</f>
        <v>1.758557142361175E-4</v>
      </c>
      <c r="Q66" s="30">
        <f t="shared" si="108"/>
        <v>3.0734463801981832E-4</v>
      </c>
      <c r="R66" s="30">
        <f t="shared" si="108"/>
        <v>2.3155788426489627E-4</v>
      </c>
      <c r="S66" s="30">
        <f t="shared" si="108"/>
        <v>2.0590855862606458E-4</v>
      </c>
      <c r="T66" s="30">
        <f t="shared" si="108"/>
        <v>5.8891415779615858E-4</v>
      </c>
      <c r="U66" s="38">
        <f>IFERROR(up_RadSpec!$F$17*U17,".")*$B$66</f>
        <v>0.28432399946279902</v>
      </c>
      <c r="V66" s="38">
        <f>IFERROR(up_RadSpec!$M$17*V17,".")*$B$66</f>
        <v>0.162683820749708</v>
      </c>
      <c r="W66" s="38">
        <f>IFERROR(up_RadSpec!$N$17*W17,".")*$B$66</f>
        <v>0.2159287305579338</v>
      </c>
      <c r="X66" s="38">
        <f>IFERROR(up_RadSpec!$O$17*X17,".")*$B$66</f>
        <v>0.24282623477929999</v>
      </c>
      <c r="Y66" s="38">
        <f>IFERROR(up_RadSpec!$K$17*Y17,".")*$B$66</f>
        <v>8.490201727720488E-2</v>
      </c>
      <c r="Z66" s="47">
        <f t="shared" si="102"/>
        <v>0.24747721177548387</v>
      </c>
      <c r="AA66" s="47">
        <f t="shared" si="102"/>
        <v>0.15014014600940007</v>
      </c>
      <c r="AB66" s="47">
        <f t="shared" si="102"/>
        <v>0.19420727177475505</v>
      </c>
      <c r="AC66" s="47">
        <f t="shared" si="102"/>
        <v>0.21559219527479345</v>
      </c>
      <c r="AD66" s="47">
        <f t="shared" si="102"/>
        <v>8.1397712854711313E-2</v>
      </c>
      <c r="AE66" s="30">
        <f t="shared" ref="AE66:AG66" si="109">IFERROR(AE17/$B52,0)</f>
        <v>2.9096728436596413E-10</v>
      </c>
      <c r="AF66" s="30">
        <f t="shared" si="109"/>
        <v>6.3721835276146137E-6</v>
      </c>
      <c r="AG66" s="30">
        <f t="shared" si="109"/>
        <v>2.9095399879524292E-10</v>
      </c>
      <c r="AH66" s="38">
        <f>IFERROR(up_RadSpec!$G$17*AH17,".")*$B$66</f>
        <v>171840.625</v>
      </c>
      <c r="AI66" s="38">
        <f>IFERROR(up_RadSpec!$J$17*AI17,".")*$B$66</f>
        <v>7.846603881278539</v>
      </c>
      <c r="AJ66" s="47">
        <f t="shared" si="104"/>
        <v>1</v>
      </c>
      <c r="AK66" s="47">
        <f t="shared" si="104"/>
        <v>0.99960892213761854</v>
      </c>
      <c r="AL66" s="47">
        <f t="shared" si="105"/>
        <v>1</v>
      </c>
    </row>
    <row r="67" spans="1:38" x14ac:dyDescent="0.25">
      <c r="A67" s="29" t="s">
        <v>309</v>
      </c>
      <c r="B67" s="34">
        <v>2.0000000000000001E-4</v>
      </c>
      <c r="C67" s="2"/>
      <c r="D67" s="30">
        <f>IFERROR(D5/$B53,0)</f>
        <v>3.6363636363636367E-4</v>
      </c>
      <c r="E67" s="30">
        <f>IFERROR(E5/$B53,0)</f>
        <v>0.45125160444768597</v>
      </c>
      <c r="F67" s="30">
        <f>IFERROR(F5/$B53,0)</f>
        <v>0</v>
      </c>
      <c r="G67" s="30">
        <f t="shared" si="98"/>
        <v>3.6334356704092303E-4</v>
      </c>
      <c r="H67" s="38">
        <f>IFERROR(up_RadSpec!$I$5*H5,".")*$B$67</f>
        <v>0.13750000000000001</v>
      </c>
      <c r="I67" s="38">
        <f>IFERROR(up_RadSpec!$G$5*I5,".")*$B$67</f>
        <v>1.1080293013295324E-4</v>
      </c>
      <c r="J67" s="38">
        <f>IFERROR(up_RadSpec!$F$5*J5,".")*$B$67</f>
        <v>0</v>
      </c>
      <c r="K67" s="47">
        <f t="shared" si="99"/>
        <v>0.12846565000284216</v>
      </c>
      <c r="L67" s="47">
        <f t="shared" si="99"/>
        <v>1.1080293013295324E-4</v>
      </c>
      <c r="M67" s="47">
        <f t="shared" si="99"/>
        <v>0</v>
      </c>
      <c r="N67" s="47">
        <f t="shared" si="100"/>
        <v>0.12856221321269123</v>
      </c>
      <c r="O67" s="47"/>
      <c r="P67" s="30">
        <f t="shared" ref="P67:T67" si="110">IFERROR(P5/$B53,0)</f>
        <v>0</v>
      </c>
      <c r="Q67" s="30">
        <f t="shared" si="110"/>
        <v>0</v>
      </c>
      <c r="R67" s="30">
        <f t="shared" si="110"/>
        <v>0</v>
      </c>
      <c r="S67" s="30">
        <f t="shared" si="110"/>
        <v>0</v>
      </c>
      <c r="T67" s="30">
        <f t="shared" si="110"/>
        <v>0</v>
      </c>
      <c r="U67" s="38">
        <f>IFERROR(up_RadSpec!$F$5*U5,".")*$B$67</f>
        <v>0</v>
      </c>
      <c r="V67" s="38">
        <f>IFERROR(up_RadSpec!$M$5*V5,".")*$B$67</f>
        <v>0</v>
      </c>
      <c r="W67" s="38">
        <f>IFERROR(up_RadSpec!$N$5*W5,".")*$B$67</f>
        <v>0</v>
      </c>
      <c r="X67" s="38">
        <f>IFERROR(up_RadSpec!$O$5*X5,".")*$B$67</f>
        <v>0</v>
      </c>
      <c r="Y67" s="38">
        <f>IFERROR(up_RadSpec!$K$5*Y5,".")*$B$67</f>
        <v>0</v>
      </c>
      <c r="Z67" s="47">
        <f t="shared" si="102"/>
        <v>0</v>
      </c>
      <c r="AA67" s="47">
        <f t="shared" si="102"/>
        <v>0</v>
      </c>
      <c r="AB67" s="47">
        <f t="shared" si="102"/>
        <v>0</v>
      </c>
      <c r="AC67" s="47">
        <f t="shared" si="102"/>
        <v>0</v>
      </c>
      <c r="AD67" s="47">
        <f t="shared" si="102"/>
        <v>0</v>
      </c>
      <c r="AE67" s="30">
        <f t="shared" ref="AE67:AG67" si="111">IFERROR(AE5/$B53,0)</f>
        <v>1.4545454545454546E-6</v>
      </c>
      <c r="AF67" s="30">
        <f t="shared" si="111"/>
        <v>3.1854545454545455E-2</v>
      </c>
      <c r="AG67" s="30">
        <f t="shared" si="111"/>
        <v>1.4544790399774192E-6</v>
      </c>
      <c r="AH67" s="38">
        <f>IFERROR(up_RadSpec!$G$5*AH5,".")*$B$67</f>
        <v>34.375</v>
      </c>
      <c r="AI67" s="38">
        <f>IFERROR(up_RadSpec!$J$5*AI5,".")*$B$67</f>
        <v>1.5696347031963472E-3</v>
      </c>
      <c r="AJ67" s="47">
        <f t="shared" si="104"/>
        <v>0.99999999999999878</v>
      </c>
      <c r="AK67" s="47">
        <f t="shared" si="104"/>
        <v>1.5696347031963472E-3</v>
      </c>
      <c r="AL67" s="47">
        <f t="shared" si="105"/>
        <v>0.99999999999999878</v>
      </c>
    </row>
    <row r="68" spans="1:38" x14ac:dyDescent="0.25">
      <c r="A68" s="29" t="s">
        <v>310</v>
      </c>
      <c r="B68" s="34">
        <v>0.99999979999999999</v>
      </c>
      <c r="C68" s="2"/>
      <c r="D68" s="30">
        <f>IFERROR(D9/$B54,0)</f>
        <v>7.2727287272730192E-8</v>
      </c>
      <c r="E68" s="30">
        <f>IFERROR(E9/$B54,0)</f>
        <v>9.0250338939604991E-5</v>
      </c>
      <c r="F68" s="30">
        <f>IFERROR(F9/$B54,0)</f>
        <v>6.5005466263427233E-5</v>
      </c>
      <c r="G68" s="30">
        <f t="shared" si="98"/>
        <v>7.258758326835589E-8</v>
      </c>
      <c r="H68" s="38">
        <f>IFERROR(up_RadSpec!$I$9*H9,".")*$B$68</f>
        <v>687.49986249999995</v>
      </c>
      <c r="I68" s="38">
        <f>IFERROR(up_RadSpec!$G$9*I9,".")*$B$68</f>
        <v>0.55401453986183602</v>
      </c>
      <c r="J68" s="38">
        <f>IFERROR(up_RadSpec!$F$9*J9,".")*$B$68</f>
        <v>0.76916608516244944</v>
      </c>
      <c r="K68" s="47">
        <f t="shared" si="99"/>
        <v>1</v>
      </c>
      <c r="L68" s="47">
        <f t="shared" si="99"/>
        <v>0.42536173463226024</v>
      </c>
      <c r="M68" s="47">
        <f t="shared" si="99"/>
        <v>0.53660065718349181</v>
      </c>
      <c r="N68" s="47">
        <f t="shared" si="100"/>
        <v>1</v>
      </c>
      <c r="O68" s="47"/>
      <c r="P68" s="30">
        <f t="shared" ref="P68:T68" si="112">IFERROR(P9/$B54,0)</f>
        <v>6.5005466263427233E-5</v>
      </c>
      <c r="Q68" s="30">
        <f t="shared" si="112"/>
        <v>1.3314207208295996E-4</v>
      </c>
      <c r="R68" s="30">
        <f t="shared" si="112"/>
        <v>9.3681367295272985E-5</v>
      </c>
      <c r="S68" s="30">
        <f t="shared" si="112"/>
        <v>7.7223155940498947E-5</v>
      </c>
      <c r="T68" s="30">
        <f t="shared" si="112"/>
        <v>2.3583182102630717E-4</v>
      </c>
      <c r="U68" s="38">
        <f>IFERROR(up_RadSpec!$F$9*U9,".")*$B$68</f>
        <v>0.76916608516244944</v>
      </c>
      <c r="V68" s="38">
        <f>IFERROR(up_RadSpec!$M$9*V9,".")*$B$68</f>
        <v>0.37553869500277376</v>
      </c>
      <c r="W68" s="38">
        <f>IFERROR(up_RadSpec!$N$9*W9,".")*$B$68</f>
        <v>0.53372406321105148</v>
      </c>
      <c r="X68" s="38">
        <f>IFERROR(up_RadSpec!$O$9*X9,".")*$B$68</f>
        <v>0.64747418557363035</v>
      </c>
      <c r="Y68" s="38">
        <f>IFERROR(up_RadSpec!$K$9*Y9,".")*$B$68</f>
        <v>0.21201549384814561</v>
      </c>
      <c r="Z68" s="47">
        <f t="shared" si="102"/>
        <v>0.53660065718349181</v>
      </c>
      <c r="AA68" s="47">
        <f t="shared" si="102"/>
        <v>0.31308086080384645</v>
      </c>
      <c r="AB68" s="47">
        <f t="shared" si="102"/>
        <v>0.41358295591982164</v>
      </c>
      <c r="AC68" s="47">
        <f t="shared" si="102"/>
        <v>0.47663396582411111</v>
      </c>
      <c r="AD68" s="47">
        <f t="shared" si="102"/>
        <v>0.19104783631258015</v>
      </c>
      <c r="AE68" s="30">
        <f t="shared" ref="AE68:AG68" si="113">IFERROR(AE9/$B54,0)</f>
        <v>2.9090914909092077E-10</v>
      </c>
      <c r="AF68" s="30">
        <f t="shared" si="113"/>
        <v>6.3709103650911641E-6</v>
      </c>
      <c r="AG68" s="30">
        <f t="shared" si="113"/>
        <v>2.908958661746571E-10</v>
      </c>
      <c r="AH68" s="38">
        <f>IFERROR(up_RadSpec!$G$9*AH9,".")*$B$68</f>
        <v>171874.96562500001</v>
      </c>
      <c r="AI68" s="38">
        <f>IFERROR(up_RadSpec!$J$9*AI9,".")*$B$68</f>
        <v>7.8481719463470325</v>
      </c>
      <c r="AJ68" s="47">
        <f t="shared" si="104"/>
        <v>1</v>
      </c>
      <c r="AK68" s="47">
        <f t="shared" si="104"/>
        <v>0.99960953489260818</v>
      </c>
      <c r="AL68" s="47">
        <f t="shared" si="105"/>
        <v>1</v>
      </c>
    </row>
    <row r="69" spans="1:38" x14ac:dyDescent="0.25">
      <c r="A69" s="29" t="s">
        <v>311</v>
      </c>
      <c r="B69" s="34">
        <v>1.9999999999999999E-7</v>
      </c>
      <c r="C69" s="2"/>
      <c r="D69" s="30">
        <f>IFERROR(D24/$B55,0)</f>
        <v>0.3636363636363637</v>
      </c>
      <c r="E69" s="30">
        <f>IFERROR(E24/$B55,0)</f>
        <v>451.25160444768602</v>
      </c>
      <c r="F69" s="30">
        <f>IFERROR(F24/$B55,0)</f>
        <v>573.59202844475692</v>
      </c>
      <c r="G69" s="30">
        <f t="shared" si="98"/>
        <v>0.36311355168755627</v>
      </c>
      <c r="H69" s="38">
        <f>IFERROR(up_RadSpec!$I$24*H24,".")*$B$69</f>
        <v>1.3749999999999998E-4</v>
      </c>
      <c r="I69" s="38">
        <f>IFERROR(up_RadSpec!$G$24*I24,".")*$B$69</f>
        <v>1.1080293013295323E-7</v>
      </c>
      <c r="J69" s="38">
        <f>IFERROR(up_RadSpec!$F$24*J24,".")*$B$69</f>
        <v>8.7169970153822576E-8</v>
      </c>
      <c r="K69" s="47">
        <f t="shared" si="99"/>
        <v>1.3749999999999998E-4</v>
      </c>
      <c r="L69" s="47">
        <f t="shared" si="99"/>
        <v>1.1080293013295323E-7</v>
      </c>
      <c r="M69" s="47">
        <f t="shared" si="99"/>
        <v>8.7169970153822576E-8</v>
      </c>
      <c r="N69" s="47">
        <f t="shared" si="100"/>
        <v>1.3769797290028675E-4</v>
      </c>
      <c r="O69" s="47"/>
      <c r="P69" s="30">
        <f t="shared" ref="P69:T69" si="114">IFERROR(P24/$B55,0)</f>
        <v>573.59202844475692</v>
      </c>
      <c r="Q69" s="30">
        <f t="shared" si="114"/>
        <v>1039.9309302827544</v>
      </c>
      <c r="R69" s="30">
        <f t="shared" si="114"/>
        <v>734.25843503879184</v>
      </c>
      <c r="S69" s="30">
        <f t="shared" si="114"/>
        <v>613.15340034157418</v>
      </c>
      <c r="T69" s="30">
        <f t="shared" si="114"/>
        <v>1728.371628371628</v>
      </c>
      <c r="U69" s="38">
        <f>IFERROR(up_RadSpec!$F$24*U24,".")*$B$69</f>
        <v>8.7169970153822576E-8</v>
      </c>
      <c r="V69" s="38">
        <f>IFERROR(up_RadSpec!$M$24*V24,".")*$B$69</f>
        <v>4.808011623080116E-8</v>
      </c>
      <c r="W69" s="38">
        <f>IFERROR(up_RadSpec!$N$24*W24,".")*$B$69</f>
        <v>6.8095915026646517E-8</v>
      </c>
      <c r="X69" s="38">
        <f>IFERROR(up_RadSpec!$O$24*X24,".")*$B$69</f>
        <v>8.1545662100456638E-8</v>
      </c>
      <c r="Y69" s="38">
        <f>IFERROR(up_RadSpec!$K$24*Y24,".")*$B$69</f>
        <v>2.8928963643720028E-8</v>
      </c>
      <c r="Z69" s="47">
        <f t="shared" si="102"/>
        <v>8.7169970153822576E-8</v>
      </c>
      <c r="AA69" s="47">
        <f t="shared" si="102"/>
        <v>4.808011623080116E-8</v>
      </c>
      <c r="AB69" s="47">
        <f t="shared" si="102"/>
        <v>6.8095915026646517E-8</v>
      </c>
      <c r="AC69" s="47">
        <f t="shared" si="102"/>
        <v>8.1545662100456638E-8</v>
      </c>
      <c r="AD69" s="47">
        <f t="shared" si="102"/>
        <v>2.8928963643720028E-8</v>
      </c>
      <c r="AE69" s="30">
        <f t="shared" ref="AE69:AG69" si="115">IFERROR(AE24/$B55,0)</f>
        <v>1.4545454545454547E-3</v>
      </c>
      <c r="AF69" s="30">
        <f t="shared" si="115"/>
        <v>31.854545454545455</v>
      </c>
      <c r="AG69" s="30">
        <f t="shared" si="115"/>
        <v>1.4544790399774194E-3</v>
      </c>
      <c r="AH69" s="38">
        <f>IFERROR(up_RadSpec!$G$24*AH24,".")*$B$69</f>
        <v>3.4374999999999996E-2</v>
      </c>
      <c r="AI69" s="38">
        <f>IFERROR(up_RadSpec!$J$24*AI24,".")*$B$69</f>
        <v>1.5696347031963471E-6</v>
      </c>
      <c r="AJ69" s="47">
        <f t="shared" si="104"/>
        <v>3.379089172316796E-2</v>
      </c>
      <c r="AK69" s="47">
        <f t="shared" si="104"/>
        <v>1.5696347031963471E-6</v>
      </c>
      <c r="AL69" s="47">
        <f t="shared" si="105"/>
        <v>3.3792408317324552E-2</v>
      </c>
    </row>
    <row r="70" spans="1:38" x14ac:dyDescent="0.25">
      <c r="A70" s="29" t="s">
        <v>312</v>
      </c>
      <c r="B70" s="34">
        <v>0.99979000004200003</v>
      </c>
      <c r="C70" s="2"/>
      <c r="D70" s="30">
        <f>IFERROR(D20/$B56,0)</f>
        <v>7.2742548659436027E-8</v>
      </c>
      <c r="E70" s="30">
        <f>IFERROR(E20/$B56,0)</f>
        <v>9.0269277434007028E-5</v>
      </c>
      <c r="F70" s="30">
        <f>IFERROR(F20/$B56,0)</f>
        <v>8.9867401056842032E-5</v>
      </c>
      <c r="G70" s="30">
        <f t="shared" si="98"/>
        <v>7.262523837538239E-8</v>
      </c>
      <c r="H70" s="38">
        <f>IFERROR(up_RadSpec!$I$20*H20,".")*$B$70</f>
        <v>687.35562502887501</v>
      </c>
      <c r="I70" s="38">
        <f>IFERROR(up_RadSpec!$G$20*I20,".")*$B$70</f>
        <v>0.55389830761139525</v>
      </c>
      <c r="J70" s="38">
        <f>IFERROR(up_RadSpec!$F$20*J20,".")*$B$70</f>
        <v>0.55637527526109842</v>
      </c>
      <c r="K70" s="47">
        <f t="shared" si="99"/>
        <v>1</v>
      </c>
      <c r="L70" s="47">
        <f t="shared" si="99"/>
        <v>0.42529493925167361</v>
      </c>
      <c r="M70" s="47">
        <f t="shared" si="99"/>
        <v>0.42671670353627811</v>
      </c>
      <c r="N70" s="47">
        <f t="shared" si="100"/>
        <v>1</v>
      </c>
      <c r="O70" s="47"/>
      <c r="P70" s="30">
        <f t="shared" ref="P70:T70" si="116">IFERROR(P20/$B56,0)</f>
        <v>8.9867401056842032E-5</v>
      </c>
      <c r="Q70" s="30">
        <f t="shared" si="116"/>
        <v>1.7722702620115083E-4</v>
      </c>
      <c r="R70" s="30">
        <f t="shared" si="116"/>
        <v>1.2400206440434081E-4</v>
      </c>
      <c r="S70" s="30">
        <f t="shared" si="116"/>
        <v>1.0412168729683984E-4</v>
      </c>
      <c r="T70" s="30">
        <f t="shared" si="116"/>
        <v>3.0198806940654388E-4</v>
      </c>
      <c r="U70" s="38">
        <f>IFERROR(up_RadSpec!$F$20*U20,".")*$B$70</f>
        <v>0.55637527526109842</v>
      </c>
      <c r="V70" s="38">
        <f>IFERROR(up_RadSpec!$M$20*V20,".")*$B$70</f>
        <v>0.28212401388065117</v>
      </c>
      <c r="W70" s="38">
        <f>IFERROR(up_RadSpec!$N$20*W20,".")*$B$70</f>
        <v>0.40321909348994439</v>
      </c>
      <c r="X70" s="38">
        <f>IFERROR(up_RadSpec!$O$20*X20,".")*$B$70</f>
        <v>0.48020735447222762</v>
      </c>
      <c r="Y70" s="38">
        <f>IFERROR(up_RadSpec!$K$20*Y20,".")*$B$70</f>
        <v>0.16556945477434989</v>
      </c>
      <c r="Z70" s="47">
        <f t="shared" si="102"/>
        <v>0.42671670353627811</v>
      </c>
      <c r="AA70" s="47">
        <f t="shared" si="102"/>
        <v>0.24581985007368845</v>
      </c>
      <c r="AB70" s="47">
        <f t="shared" si="102"/>
        <v>0.3318343074676795</v>
      </c>
      <c r="AC70" s="47">
        <f t="shared" si="102"/>
        <v>0.3813449023958424</v>
      </c>
      <c r="AD70" s="47">
        <f t="shared" si="102"/>
        <v>0.15258899557915917</v>
      </c>
      <c r="AE70" s="30">
        <f t="shared" ref="AE70:AG70" si="117">IFERROR(AE20/$B56,0)</f>
        <v>2.9097019463774413E-10</v>
      </c>
      <c r="AF70" s="30">
        <f t="shared" si="117"/>
        <v>6.372247262566595E-6</v>
      </c>
      <c r="AG70" s="30">
        <f t="shared" si="117"/>
        <v>2.9095690893413982E-10</v>
      </c>
      <c r="AH70" s="38">
        <f>IFERROR(up_RadSpec!$G$20*AH20,".")*$B$70</f>
        <v>171838.90625721877</v>
      </c>
      <c r="AI70" s="38">
        <f>IFERROR(up_RadSpec!$J$20*AI20,".")*$B$70</f>
        <v>7.8465253998730029</v>
      </c>
      <c r="AJ70" s="47">
        <f t="shared" si="104"/>
        <v>1</v>
      </c>
      <c r="AK70" s="47">
        <f t="shared" si="104"/>
        <v>0.99960889144407383</v>
      </c>
      <c r="AL70" s="47">
        <f t="shared" si="105"/>
        <v>1</v>
      </c>
    </row>
    <row r="71" spans="1:38" x14ac:dyDescent="0.25">
      <c r="A71" s="29" t="s">
        <v>313</v>
      </c>
      <c r="B71" s="34">
        <v>2.0999995799999999E-4</v>
      </c>
      <c r="C71" s="2"/>
      <c r="D71" s="30">
        <f>IFERROR(D29/$B57,0)</f>
        <v>3.463204155844295E-4</v>
      </c>
      <c r="E71" s="30">
        <f>IFERROR(E29/$B57,0)</f>
        <v>0.42976351876002378</v>
      </c>
      <c r="F71" s="30">
        <f>IFERROR(F29/$B57,0)</f>
        <v>0.33673983031723742</v>
      </c>
      <c r="G71" s="30">
        <f t="shared" si="98"/>
        <v>3.456863264423006E-4</v>
      </c>
      <c r="H71" s="38">
        <f>IFERROR(up_RadSpec!$I$29*H29,".")*$B$71</f>
        <v>0.144374971125</v>
      </c>
      <c r="I71" s="38">
        <f>IFERROR(up_RadSpec!$G$29*I29,".")*$B$71</f>
        <v>1.1634305337098556E-4</v>
      </c>
      <c r="J71" s="38">
        <f>IFERROR(up_RadSpec!$F$29*J29,".")*$B$71</f>
        <v>1.4848258358061113E-4</v>
      </c>
      <c r="K71" s="47">
        <f t="shared" si="99"/>
        <v>0.13443687397805959</v>
      </c>
      <c r="L71" s="47">
        <f t="shared" si="99"/>
        <v>1.1634305337098556E-4</v>
      </c>
      <c r="M71" s="47">
        <f t="shared" si="99"/>
        <v>1.4848258358061113E-4</v>
      </c>
      <c r="N71" s="47">
        <f t="shared" si="100"/>
        <v>0.13466606693480532</v>
      </c>
      <c r="O71" s="47"/>
      <c r="P71" s="30">
        <f t="shared" ref="P71:T71" si="118">IFERROR(P29/$B57,0)</f>
        <v>0.33673983031723742</v>
      </c>
      <c r="Q71" s="30">
        <f t="shared" si="118"/>
        <v>0.67195274318526244</v>
      </c>
      <c r="R71" s="30">
        <f t="shared" si="118"/>
        <v>0.47869627640587936</v>
      </c>
      <c r="S71" s="30">
        <f t="shared" si="118"/>
        <v>0.40605802326954649</v>
      </c>
      <c r="T71" s="30">
        <f t="shared" si="118"/>
        <v>1.2066118115702964</v>
      </c>
      <c r="U71" s="38">
        <f>IFERROR(up_RadSpec!$F$29*U29,".")*$B$71</f>
        <v>1.4848258358061113E-4</v>
      </c>
      <c r="V71" s="38">
        <f>IFERROR(up_RadSpec!$M$29*V29,".")*$B$71</f>
        <v>7.4409994612098233E-5</v>
      </c>
      <c r="W71" s="38">
        <f>IFERROR(up_RadSpec!$N$29*W29,".")*$B$71</f>
        <v>1.0445036333979287E-4</v>
      </c>
      <c r="X71" s="38">
        <f>IFERROR(up_RadSpec!$O$29*X29,".")*$B$71</f>
        <v>1.2313511157199662E-4</v>
      </c>
      <c r="Y71" s="38">
        <f>IFERROR(up_RadSpec!$K$29*Y29,".")*$B$71</f>
        <v>4.1438347876712332E-5</v>
      </c>
      <c r="Z71" s="47">
        <f t="shared" si="102"/>
        <v>1.4848258358061113E-4</v>
      </c>
      <c r="AA71" s="47">
        <f t="shared" si="102"/>
        <v>7.4409994612098233E-5</v>
      </c>
      <c r="AB71" s="47">
        <f t="shared" si="102"/>
        <v>1.0445036333979287E-4</v>
      </c>
      <c r="AC71" s="47">
        <f t="shared" si="102"/>
        <v>1.2313511157199662E-4</v>
      </c>
      <c r="AD71" s="47">
        <f t="shared" si="102"/>
        <v>4.1438347876712332E-5</v>
      </c>
      <c r="AE71" s="30">
        <f t="shared" ref="AE71:AG71" si="119">IFERROR(AE29/$B57,0)</f>
        <v>1.385281662337718E-6</v>
      </c>
      <c r="AF71" s="30">
        <f t="shared" si="119"/>
        <v>3.0337668405196021E-2</v>
      </c>
      <c r="AG71" s="30">
        <f t="shared" si="119"/>
        <v>1.3852184103555101E-6</v>
      </c>
      <c r="AH71" s="38">
        <f>IFERROR(up_RadSpec!$G$29*AH29,".")*$B$71</f>
        <v>36.09374278125</v>
      </c>
      <c r="AI71" s="38">
        <f>IFERROR(up_RadSpec!$J$29*AI29,".")*$B$71</f>
        <v>1.6481161087328767E-3</v>
      </c>
      <c r="AJ71" s="47">
        <f t="shared" si="104"/>
        <v>0.99999999999999978</v>
      </c>
      <c r="AK71" s="47">
        <f t="shared" si="104"/>
        <v>1.6481161087328767E-3</v>
      </c>
      <c r="AL71" s="47">
        <f t="shared" si="105"/>
        <v>0.99999999999999978</v>
      </c>
    </row>
    <row r="72" spans="1:38" x14ac:dyDescent="0.25">
      <c r="A72" s="29" t="s">
        <v>314</v>
      </c>
      <c r="B72" s="34">
        <v>1</v>
      </c>
      <c r="C72" s="2"/>
      <c r="D72" s="30">
        <f>IFERROR(D16/$B58,0)</f>
        <v>7.272727272727274E-8</v>
      </c>
      <c r="E72" s="30">
        <f>IFERROR(E16/$B58,0)</f>
        <v>9.0250320889537203E-5</v>
      </c>
      <c r="F72" s="30">
        <f>IFERROR(F16/$B58,0)</f>
        <v>1.9123655075627644</v>
      </c>
      <c r="G72" s="30">
        <f t="shared" si="98"/>
        <v>7.2668710646818281E-8</v>
      </c>
      <c r="H72" s="38">
        <f>IFERROR(up_RadSpec!$I$16*H16,".")*$B$72</f>
        <v>687.5</v>
      </c>
      <c r="I72" s="38">
        <f>IFERROR(up_RadSpec!$G$16*I16,".")*$B$72</f>
        <v>0.55401465066476618</v>
      </c>
      <c r="J72" s="38">
        <f>IFERROR(up_RadSpec!$F$16*J16,".")*$B$72</f>
        <v>2.614562948467057E-5</v>
      </c>
      <c r="K72" s="47">
        <f t="shared" si="99"/>
        <v>1</v>
      </c>
      <c r="L72" s="47">
        <f t="shared" si="99"/>
        <v>0.42536179830386023</v>
      </c>
      <c r="M72" s="47">
        <f t="shared" si="99"/>
        <v>2.614562948467057E-5</v>
      </c>
      <c r="N72" s="47">
        <f t="shared" si="100"/>
        <v>1</v>
      </c>
      <c r="O72" s="47"/>
      <c r="P72" s="30">
        <f t="shared" ref="P72:T72" si="120">IFERROR(P16/$B58,0)</f>
        <v>1.9123655075627644</v>
      </c>
      <c r="Q72" s="30">
        <f t="shared" si="120"/>
        <v>3.4058573540280874</v>
      </c>
      <c r="R72" s="30">
        <f t="shared" si="120"/>
        <v>2.0460345140494445</v>
      </c>
      <c r="S72" s="30">
        <f t="shared" si="120"/>
        <v>2.0566062345115443</v>
      </c>
      <c r="T72" s="30">
        <f t="shared" si="120"/>
        <v>79.63636363636364</v>
      </c>
      <c r="U72" s="38">
        <f>IFERROR(up_RadSpec!$F$16*U16,".")*$B$72</f>
        <v>2.614562948467057E-5</v>
      </c>
      <c r="V72" s="38">
        <f>IFERROR(up_RadSpec!$M$16*V16,".")*$B$72</f>
        <v>1.4680591346805909E-5</v>
      </c>
      <c r="W72" s="38">
        <f>IFERROR(up_RadSpec!$N$16*W16,".")*$B$72</f>
        <v>2.4437515426385281E-5</v>
      </c>
      <c r="X72" s="38">
        <f>IFERROR(up_RadSpec!$O$16*X16,".")*$B$72</f>
        <v>2.4311897513952296E-5</v>
      </c>
      <c r="Y72" s="38">
        <f>IFERROR(up_RadSpec!$K$16*Y16,".")*$B$72</f>
        <v>6.2785388127853889E-7</v>
      </c>
      <c r="Z72" s="47">
        <f t="shared" si="102"/>
        <v>2.614562948467057E-5</v>
      </c>
      <c r="AA72" s="47">
        <f t="shared" si="102"/>
        <v>1.4680591346805909E-5</v>
      </c>
      <c r="AB72" s="47">
        <f t="shared" si="102"/>
        <v>2.4437515426385281E-5</v>
      </c>
      <c r="AC72" s="47">
        <f t="shared" si="102"/>
        <v>2.4311897513952296E-5</v>
      </c>
      <c r="AD72" s="47">
        <f t="shared" si="102"/>
        <v>6.2785388127853889E-7</v>
      </c>
      <c r="AE72" s="30">
        <f t="shared" ref="AE72:AG72" si="121">IFERROR(AE16/$B58,0)</f>
        <v>2.9090909090909094E-10</v>
      </c>
      <c r="AF72" s="30">
        <f t="shared" si="121"/>
        <v>6.3709090909090908E-6</v>
      </c>
      <c r="AG72" s="30">
        <f t="shared" si="121"/>
        <v>2.9089580799548386E-10</v>
      </c>
      <c r="AH72" s="38">
        <f>IFERROR(up_RadSpec!$G$16*AH16,".")*$B$72</f>
        <v>171875</v>
      </c>
      <c r="AI72" s="38">
        <f>IFERROR(up_RadSpec!$J$16*AI16,".")*$B$72</f>
        <v>7.8481735159817356</v>
      </c>
      <c r="AJ72" s="47">
        <f t="shared" si="104"/>
        <v>1</v>
      </c>
      <c r="AK72" s="47">
        <f t="shared" si="104"/>
        <v>0.99960953550549536</v>
      </c>
      <c r="AL72" s="47">
        <f t="shared" si="105"/>
        <v>1</v>
      </c>
    </row>
    <row r="73" spans="1:38" x14ac:dyDescent="0.25">
      <c r="A73" s="29" t="s">
        <v>315</v>
      </c>
      <c r="B73" s="34">
        <v>1</v>
      </c>
      <c r="C73" s="2"/>
      <c r="D73" s="30">
        <f>IFERROR(D7/$B59,0)</f>
        <v>7.272727272727274E-8</v>
      </c>
      <c r="E73" s="30">
        <f>IFERROR(E7/$B59,0)</f>
        <v>9.0250320889537203E-5</v>
      </c>
      <c r="F73" s="30">
        <f>IFERROR(F7/$B59,0)</f>
        <v>2.296084936960849E-4</v>
      </c>
      <c r="G73" s="30">
        <f t="shared" si="98"/>
        <v>7.2645721788615091E-8</v>
      </c>
      <c r="H73" s="38">
        <f>IFERROR(up_RadSpec!$I$7*H7,".")*$B$73</f>
        <v>687.5</v>
      </c>
      <c r="I73" s="38">
        <f>IFERROR(up_RadSpec!$G$7*I7,".")*$B$73</f>
        <v>0.55401465066476618</v>
      </c>
      <c r="J73" s="38">
        <f>IFERROR(up_RadSpec!$F$7*J7,".")*$B$73</f>
        <v>0.21776197907635406</v>
      </c>
      <c r="K73" s="47">
        <f t="shared" si="99"/>
        <v>1</v>
      </c>
      <c r="L73" s="47">
        <f t="shared" si="99"/>
        <v>0.42536179830386023</v>
      </c>
      <c r="M73" s="47">
        <f t="shared" si="99"/>
        <v>0.19568313687283501</v>
      </c>
      <c r="N73" s="47">
        <f t="shared" si="100"/>
        <v>1</v>
      </c>
      <c r="O73" s="47"/>
      <c r="P73" s="30">
        <f t="shared" ref="P73:T73" si="122">IFERROR(P7/$B59,0)</f>
        <v>2.296084936960849E-4</v>
      </c>
      <c r="Q73" s="30">
        <f t="shared" si="122"/>
        <v>3.6527883880825085E-4</v>
      </c>
      <c r="R73" s="30">
        <f t="shared" si="122"/>
        <v>2.6761363636363642E-4</v>
      </c>
      <c r="S73" s="30">
        <f t="shared" si="122"/>
        <v>2.461783991950872E-4</v>
      </c>
      <c r="T73" s="30">
        <f t="shared" si="122"/>
        <v>6.2510591013264789E-4</v>
      </c>
      <c r="U73" s="38">
        <f>IFERROR(up_RadSpec!$F$7*U7,".")*$B$73</f>
        <v>0.21776197907635406</v>
      </c>
      <c r="V73" s="38">
        <f>IFERROR(up_RadSpec!$M$7*V7,".")*$B$73</f>
        <v>0.13688173167416076</v>
      </c>
      <c r="W73" s="38">
        <f>IFERROR(up_RadSpec!$N$7*W7,".")*$B$73</f>
        <v>0.18683651804670912</v>
      </c>
      <c r="X73" s="38">
        <f>IFERROR(up_RadSpec!$O$7*X7,".")*$B$73</f>
        <v>0.20310474096623271</v>
      </c>
      <c r="Y73" s="38">
        <f>IFERROR(up_RadSpec!$K$7*Y7,".")*$B$73</f>
        <v>7.9986445799864497E-2</v>
      </c>
      <c r="Z73" s="47">
        <f t="shared" si="102"/>
        <v>0.19568313687283501</v>
      </c>
      <c r="AA73" s="47">
        <f t="shared" si="102"/>
        <v>0.127926641310527</v>
      </c>
      <c r="AB73" s="47">
        <f t="shared" si="102"/>
        <v>0.17042065344782142</v>
      </c>
      <c r="AC73" s="47">
        <f t="shared" si="102"/>
        <v>0.18380725186870839</v>
      </c>
      <c r="AD73" s="47">
        <f t="shared" si="102"/>
        <v>7.6871141424860734E-2</v>
      </c>
      <c r="AE73" s="30">
        <f t="shared" ref="AE73:AG73" si="123">IFERROR(AE7/$B59,0)</f>
        <v>2.9090909090909094E-10</v>
      </c>
      <c r="AF73" s="30">
        <f t="shared" si="123"/>
        <v>6.3709090909090908E-6</v>
      </c>
      <c r="AG73" s="30">
        <f t="shared" si="123"/>
        <v>2.9089580799548386E-10</v>
      </c>
      <c r="AH73" s="38">
        <f>IFERROR(up_RadSpec!$G$7*AH7,".")*$B$73</f>
        <v>171875</v>
      </c>
      <c r="AI73" s="38">
        <f>IFERROR(up_RadSpec!$J$7*AI7,".")*$B$73</f>
        <v>7.8481735159817356</v>
      </c>
      <c r="AJ73" s="47">
        <f t="shared" si="104"/>
        <v>1</v>
      </c>
      <c r="AK73" s="47">
        <f t="shared" si="104"/>
        <v>0.99960953550549536</v>
      </c>
      <c r="AL73" s="47">
        <f t="shared" si="105"/>
        <v>1</v>
      </c>
    </row>
    <row r="74" spans="1:38" x14ac:dyDescent="0.25">
      <c r="A74" s="29" t="s">
        <v>316</v>
      </c>
      <c r="B74" s="36">
        <v>1.9000000000000001E-8</v>
      </c>
      <c r="C74" s="2"/>
      <c r="D74" s="30">
        <f>IFERROR(D12/$B60,0)</f>
        <v>3.8277511961722492</v>
      </c>
      <c r="E74" s="30">
        <f>IFERROR(E12/$B60,0)</f>
        <v>4750.0168889230099</v>
      </c>
      <c r="F74" s="30">
        <f>IFERROR(F12/$B60,0)</f>
        <v>9379.2181998736123</v>
      </c>
      <c r="G74" s="30">
        <f t="shared" si="98"/>
        <v>3.823110134196559</v>
      </c>
      <c r="H74" s="38">
        <f>IFERROR(up_RadSpec!$I$12*H12,".")*$B$74</f>
        <v>1.3062500000000001E-5</v>
      </c>
      <c r="I74" s="38">
        <f>IFERROR(up_RadSpec!$G$12*I12,".")*$B$74</f>
        <v>1.0526278362630558E-8</v>
      </c>
      <c r="J74" s="38">
        <f>IFERROR(up_RadSpec!$F$12*J12,".")*$B$74</f>
        <v>5.3309347255268861E-9</v>
      </c>
      <c r="K74" s="47">
        <f t="shared" si="99"/>
        <v>1.3062500000000001E-5</v>
      </c>
      <c r="L74" s="47">
        <f t="shared" si="99"/>
        <v>1.0526278362630558E-8</v>
      </c>
      <c r="M74" s="47">
        <f t="shared" si="99"/>
        <v>5.3309347255268861E-9</v>
      </c>
      <c r="N74" s="47">
        <f t="shared" si="100"/>
        <v>1.3078357213088157E-5</v>
      </c>
      <c r="O74" s="47"/>
      <c r="P74" s="30">
        <f t="shared" ref="P74:T74" si="124">IFERROR(P12/$B60,0)</f>
        <v>9379.2181998736123</v>
      </c>
      <c r="Q74" s="30">
        <f t="shared" si="124"/>
        <v>16826.919002655908</v>
      </c>
      <c r="R74" s="30">
        <f t="shared" si="124"/>
        <v>12200.9909087059</v>
      </c>
      <c r="S74" s="30">
        <f t="shared" si="124"/>
        <v>10775.176662697248</v>
      </c>
      <c r="T74" s="30">
        <f t="shared" si="124"/>
        <v>29047.456303095401</v>
      </c>
      <c r="U74" s="38">
        <f>IFERROR(up_RadSpec!$F$12*U12,".")*$B$74</f>
        <v>5.3309347255268861E-9</v>
      </c>
      <c r="V74" s="38">
        <f>IFERROR(up_RadSpec!$M$12*V12,".")*$B$74</f>
        <v>2.9714292908944398E-9</v>
      </c>
      <c r="W74" s="38">
        <f>IFERROR(up_RadSpec!$N$12*W12,".")*$B$74</f>
        <v>4.0980278056205246E-9</v>
      </c>
      <c r="X74" s="38">
        <f>IFERROR(up_RadSpec!$O$12*X12,".")*$B$74</f>
        <v>4.6402951492290407E-9</v>
      </c>
      <c r="Y74" s="38">
        <f>IFERROR(up_RadSpec!$K$12*Y12,".")*$B$74</f>
        <v>1.7213211194218004E-9</v>
      </c>
      <c r="Z74" s="47">
        <f t="shared" si="102"/>
        <v>5.3309347255268861E-9</v>
      </c>
      <c r="AA74" s="47">
        <f t="shared" si="102"/>
        <v>2.9714292908944398E-9</v>
      </c>
      <c r="AB74" s="47">
        <f t="shared" si="102"/>
        <v>4.0980278056205246E-9</v>
      </c>
      <c r="AC74" s="47">
        <f t="shared" si="102"/>
        <v>4.6402951492290407E-9</v>
      </c>
      <c r="AD74" s="47">
        <f t="shared" si="102"/>
        <v>1.7213211194218004E-9</v>
      </c>
      <c r="AE74" s="30">
        <f t="shared" ref="AE74:AG74" si="125">IFERROR(AE12/$B60,0)</f>
        <v>1.5311004784688996E-2</v>
      </c>
      <c r="AF74" s="30">
        <f t="shared" si="125"/>
        <v>335.31100478468898</v>
      </c>
      <c r="AG74" s="30">
        <f t="shared" si="125"/>
        <v>1.5310305683972833E-2</v>
      </c>
      <c r="AH74" s="38">
        <f>IFERROR(up_RadSpec!$G$12*AH12,".")*$B$74</f>
        <v>3.2656250000000003E-3</v>
      </c>
      <c r="AI74" s="38">
        <f>IFERROR(up_RadSpec!$J$12*AI12,".")*$B$74</f>
        <v>1.4911529680365299E-7</v>
      </c>
      <c r="AJ74" s="47">
        <f t="shared" si="104"/>
        <v>3.2656250000000003E-3</v>
      </c>
      <c r="AK74" s="47">
        <f t="shared" si="104"/>
        <v>1.4911529680365299E-7</v>
      </c>
      <c r="AL74" s="47">
        <f t="shared" si="105"/>
        <v>3.2657741152968042E-3</v>
      </c>
    </row>
    <row r="75" spans="1:38" x14ac:dyDescent="0.25">
      <c r="A75" s="29" t="s">
        <v>317</v>
      </c>
      <c r="B75" s="34">
        <v>1</v>
      </c>
      <c r="C75" s="2"/>
      <c r="D75" s="30">
        <f>IFERROR(D18/$B61,0)</f>
        <v>7.272727272727274E-8</v>
      </c>
      <c r="E75" s="30">
        <f>IFERROR(E18/$B61,0)</f>
        <v>9.0250320889537203E-5</v>
      </c>
      <c r="F75" s="30">
        <f>IFERROR(F18/$B61,0)</f>
        <v>8.9547762454264033E-5</v>
      </c>
      <c r="G75" s="30">
        <f t="shared" si="98"/>
        <v>7.2609789992624135E-8</v>
      </c>
      <c r="H75" s="38">
        <f>IFERROR(up_RadSpec!$I$18*H18,".")*$B$75</f>
        <v>687.5</v>
      </c>
      <c r="I75" s="38">
        <f>IFERROR(up_RadSpec!$G$18*I18,".")*$B$75</f>
        <v>0.55401465066476618</v>
      </c>
      <c r="J75" s="38">
        <f>IFERROR(up_RadSpec!$F$18*J18,".")*$B$75</f>
        <v>0.55836124353790761</v>
      </c>
      <c r="K75" s="47">
        <f t="shared" si="99"/>
        <v>1</v>
      </c>
      <c r="L75" s="47">
        <f t="shared" si="99"/>
        <v>0.42536179830386023</v>
      </c>
      <c r="M75" s="47">
        <f t="shared" si="99"/>
        <v>0.42785409618998571</v>
      </c>
      <c r="N75" s="47">
        <f t="shared" si="100"/>
        <v>1</v>
      </c>
      <c r="O75" s="47"/>
      <c r="P75" s="30">
        <f t="shared" ref="P75:T75" si="126">IFERROR(P18/$B61,0)</f>
        <v>8.9547762454264033E-5</v>
      </c>
      <c r="Q75" s="30">
        <f t="shared" si="126"/>
        <v>1.7718902910121044E-4</v>
      </c>
      <c r="R75" s="30">
        <f t="shared" si="126"/>
        <v>1.2408469260888124E-4</v>
      </c>
      <c r="S75" s="30">
        <f t="shared" si="126"/>
        <v>1.0280640881722631E-4</v>
      </c>
      <c r="T75" s="30">
        <f t="shared" si="126"/>
        <v>3.0118881118881119E-4</v>
      </c>
      <c r="U75" s="38">
        <f>IFERROR(up_RadSpec!$F$18*U18,".")*$B$75</f>
        <v>0.55836124353790761</v>
      </c>
      <c r="V75" s="38">
        <f>IFERROR(up_RadSpec!$M$18*V18,".")*$B$75</f>
        <v>0.28218451364412633</v>
      </c>
      <c r="W75" s="38">
        <f>IFERROR(up_RadSpec!$N$18*W18,".")*$B$75</f>
        <v>0.40295058922055393</v>
      </c>
      <c r="X75" s="38">
        <f>IFERROR(up_RadSpec!$O$18*X18,".")*$B$75</f>
        <v>0.48635100258090125</v>
      </c>
      <c r="Y75" s="38">
        <f>IFERROR(up_RadSpec!$K$18*Y18,".")*$B$75</f>
        <v>0.16600882284652896</v>
      </c>
      <c r="Z75" s="47">
        <f t="shared" si="102"/>
        <v>0.42785409618998571</v>
      </c>
      <c r="AA75" s="47">
        <f t="shared" si="102"/>
        <v>0.24586547641417134</v>
      </c>
      <c r="AB75" s="47">
        <f t="shared" si="102"/>
        <v>0.33165487803886851</v>
      </c>
      <c r="AC75" s="47">
        <f t="shared" si="102"/>
        <v>0.38513405010283253</v>
      </c>
      <c r="AD75" s="47">
        <f t="shared" si="102"/>
        <v>0.15296123913655946</v>
      </c>
      <c r="AE75" s="30">
        <f t="shared" ref="AE75:AG75" si="127">IFERROR(AE18/$B61,0)</f>
        <v>2.9090909090909094E-10</v>
      </c>
      <c r="AF75" s="30">
        <f t="shared" si="127"/>
        <v>6.3709090909090908E-6</v>
      </c>
      <c r="AG75" s="30">
        <f t="shared" si="127"/>
        <v>2.9089580799548386E-10</v>
      </c>
      <c r="AH75" s="38">
        <f>IFERROR(up_RadSpec!$G$18*AH18,".")*$B$75</f>
        <v>171875</v>
      </c>
      <c r="AI75" s="38">
        <f>IFERROR(up_RadSpec!$J$18*AI18,".")*$B$75</f>
        <v>7.8481735159817356</v>
      </c>
      <c r="AJ75" s="47">
        <f t="shared" si="104"/>
        <v>1</v>
      </c>
      <c r="AK75" s="47">
        <f t="shared" si="104"/>
        <v>0.99960953550549536</v>
      </c>
      <c r="AL75" s="47">
        <f t="shared" si="105"/>
        <v>1</v>
      </c>
    </row>
    <row r="76" spans="1:38" x14ac:dyDescent="0.25">
      <c r="A76" s="29" t="s">
        <v>318</v>
      </c>
      <c r="B76" s="34">
        <v>1.339E-6</v>
      </c>
      <c r="C76" s="2"/>
      <c r="D76" s="30">
        <f>IFERROR(D27/$B62,0)</f>
        <v>5.4314617421413545E-2</v>
      </c>
      <c r="E76" s="30">
        <f>IFERROR(E27/$B62,0)</f>
        <v>67.401285205031513</v>
      </c>
      <c r="F76" s="30">
        <f>IFERROR(F27/$B62,0)</f>
        <v>109.75250882704346</v>
      </c>
      <c r="G76" s="30">
        <f t="shared" si="98"/>
        <v>5.4244060967771873E-2</v>
      </c>
      <c r="H76" s="38">
        <f>IFERROR(up_RadSpec!$I$27*H27,".")*$B$76</f>
        <v>9.2056250000000005E-4</v>
      </c>
      <c r="I76" s="38">
        <f>IFERROR(up_RadSpec!$G$27*I27,".")*$B$76</f>
        <v>7.4182561724012188E-7</v>
      </c>
      <c r="J76" s="38">
        <f>IFERROR(up_RadSpec!$F$27*J27,".")*$B$76</f>
        <v>4.555704515037001E-7</v>
      </c>
      <c r="K76" s="47">
        <f t="shared" si="99"/>
        <v>9.2056250000000005E-4</v>
      </c>
      <c r="L76" s="47">
        <f t="shared" si="99"/>
        <v>7.4182561724012188E-7</v>
      </c>
      <c r="M76" s="47">
        <f t="shared" si="99"/>
        <v>4.555704515037001E-7</v>
      </c>
      <c r="N76" s="47">
        <f t="shared" si="100"/>
        <v>9.2175989606874391E-4</v>
      </c>
      <c r="O76" s="47"/>
      <c r="P76" s="30">
        <f t="shared" ref="P76:T76" si="128">IFERROR(P27/$B62,0)</f>
        <v>109.75250882704346</v>
      </c>
      <c r="Q76" s="30">
        <f t="shared" si="128"/>
        <v>325.54466483950409</v>
      </c>
      <c r="R76" s="30">
        <f t="shared" si="128"/>
        <v>199.5833593362278</v>
      </c>
      <c r="S76" s="30">
        <f t="shared" si="128"/>
        <v>145.18918352806816</v>
      </c>
      <c r="T76" s="30">
        <f t="shared" si="128"/>
        <v>1018.2979948572956</v>
      </c>
      <c r="U76" s="38">
        <f>IFERROR(up_RadSpec!$F$27*U27,".")*$B$76</f>
        <v>4.555704515037001E-7</v>
      </c>
      <c r="V76" s="38">
        <f>IFERROR(up_RadSpec!$M$27*V27,".")*$B$76</f>
        <v>1.5358875570776249E-7</v>
      </c>
      <c r="W76" s="38">
        <f>IFERROR(up_RadSpec!$N$27*W27,".")*$B$76</f>
        <v>2.5052188802858854E-7</v>
      </c>
      <c r="X76" s="38">
        <f>IFERROR(up_RadSpec!$O$27*X27,".")*$B$76</f>
        <v>3.4437827105993716E-7</v>
      </c>
      <c r="Y76" s="38">
        <f>IFERROR(up_RadSpec!$K$27*Y27,".")*$B$76</f>
        <v>4.9101540268678431E-8</v>
      </c>
      <c r="Z76" s="47">
        <f t="shared" si="102"/>
        <v>4.555704515037001E-7</v>
      </c>
      <c r="AA76" s="47">
        <f t="shared" si="102"/>
        <v>1.5358875570776249E-7</v>
      </c>
      <c r="AB76" s="47">
        <f t="shared" si="102"/>
        <v>2.5052188802858854E-7</v>
      </c>
      <c r="AC76" s="47">
        <f t="shared" si="102"/>
        <v>3.4437827105993716E-7</v>
      </c>
      <c r="AD76" s="47">
        <f t="shared" si="102"/>
        <v>4.9101540268678431E-8</v>
      </c>
      <c r="AE76" s="30">
        <f t="shared" ref="AE76:AG76" si="129">IFERROR(AE27/$B62,0)</f>
        <v>2.1725846968565418E-4</v>
      </c>
      <c r="AF76" s="30">
        <f t="shared" si="129"/>
        <v>4.7579604861158256</v>
      </c>
      <c r="AG76" s="30">
        <f t="shared" si="129"/>
        <v>2.1724854966055553E-4</v>
      </c>
      <c r="AH76" s="38">
        <f>IFERROR(up_RadSpec!$G$27*AH27,".")*$B$76</f>
        <v>0.23014062500000002</v>
      </c>
      <c r="AI76" s="38">
        <f>IFERROR(up_RadSpec!$J$27*AI27,".")*$B$76</f>
        <v>1.0508704337899545E-5</v>
      </c>
      <c r="AJ76" s="47">
        <f t="shared" si="104"/>
        <v>0.20557812092878014</v>
      </c>
      <c r="AK76" s="47">
        <f t="shared" si="104"/>
        <v>1.0508704337899545E-5</v>
      </c>
      <c r="AL76" s="47">
        <f t="shared" si="105"/>
        <v>0.20558646922956181</v>
      </c>
    </row>
  </sheetData>
  <sheetProtection algorithmName="SHA-512" hashValue="MNP3/U/UYIwWiX6IoEPrfLWZosXrcori/3JKHsIB2ATJfFn9VpwcZxZc6iETjWNpUV2AIHl+xj4jhjVdfdhbxg==" saltValue="7DmM3kENHrHSCSgqW6RiAw==" spinCount="100000" sheet="1" formatColumns="0" formatRows="0" autoFilter="0"/>
  <autoFilter ref="A1:AL76" xr:uid="{00000000-0009-0000-0000-000007000000}"/>
  <pageMargins left="0.7" right="0.7" top="0.75" bottom="0.75" header="0.3" footer="0.3"/>
  <pageSetup paperSize="0" orientation="portrait" horizontalDpi="0" verticalDpi="0" copie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tabColor theme="9" tint="-0.499984740745262"/>
  </sheetPr>
  <dimension ref="A1:AK76"/>
  <sheetViews>
    <sheetView zoomScale="90" zoomScaleNormal="90" workbookViewId="0">
      <pane xSplit="2" ySplit="1" topLeftCell="C2" activePane="bottomRight" state="frozen"/>
      <selection pane="topRight" activeCell="C1" sqref="C1"/>
      <selection pane="bottomLeft" activeCell="A2" sqref="A2"/>
      <selection pane="bottomRight" activeCell="C2" sqref="C2"/>
    </sheetView>
  </sheetViews>
  <sheetFormatPr defaultColWidth="9.140625" defaultRowHeight="15" x14ac:dyDescent="0.25"/>
  <cols>
    <col min="1" max="1" width="15.42578125" style="3" customWidth="1"/>
    <col min="2" max="2" width="13.28515625" style="3" bestFit="1" customWidth="1"/>
    <col min="3" max="3" width="13.28515625" style="3" customWidth="1"/>
    <col min="4" max="4" width="14.42578125" style="2" bestFit="1" customWidth="1"/>
    <col min="5" max="5" width="14.5703125" style="2" bestFit="1" customWidth="1"/>
    <col min="6" max="6" width="14.28515625" style="2" bestFit="1" customWidth="1"/>
    <col min="7" max="9" width="14.140625" style="2" bestFit="1" customWidth="1"/>
    <col min="10" max="10" width="14" style="2" bestFit="1" customWidth="1"/>
    <col min="11" max="12" width="14.5703125" style="2" bestFit="1" customWidth="1"/>
    <col min="13" max="13" width="14.42578125" style="2" bestFit="1" customWidth="1"/>
    <col min="14" max="14" width="14.28515625" style="2" bestFit="1" customWidth="1"/>
    <col min="15" max="15" width="13.5703125" style="2" bestFit="1" customWidth="1"/>
    <col min="16" max="17" width="15.42578125" style="2" bestFit="1" customWidth="1"/>
    <col min="18" max="18" width="16.42578125" style="2" bestFit="1" customWidth="1"/>
    <col min="19" max="19" width="13.85546875" style="2" bestFit="1" customWidth="1"/>
    <col min="20" max="20" width="13.140625" style="2" bestFit="1" customWidth="1"/>
    <col min="21" max="22" width="14.85546875" style="2" bestFit="1" customWidth="1"/>
    <col min="23" max="23" width="16" style="2" bestFit="1" customWidth="1"/>
    <col min="24" max="25" width="13.5703125" style="2" bestFit="1" customWidth="1"/>
    <col min="26" max="27" width="15.42578125" style="2" bestFit="1" customWidth="1"/>
    <col min="28" max="28" width="16.42578125" style="2" bestFit="1" customWidth="1"/>
    <col min="29" max="29" width="14.140625" style="2" bestFit="1" customWidth="1"/>
    <col min="30" max="30" width="13.85546875" style="2" bestFit="1" customWidth="1"/>
    <col min="31" max="31" width="14.140625" style="2" bestFit="1" customWidth="1"/>
    <col min="32" max="32" width="13.28515625" style="2" bestFit="1" customWidth="1"/>
    <col min="33" max="33" width="13.42578125" style="2" bestFit="1" customWidth="1"/>
    <col min="34" max="34" width="13.85546875" style="2" bestFit="1" customWidth="1"/>
    <col min="35" max="35" width="14" style="2" bestFit="1" customWidth="1"/>
    <col min="36" max="36" width="14.28515625" style="2" bestFit="1" customWidth="1"/>
    <col min="37" max="37" width="13.7109375" style="2" bestFit="1" customWidth="1"/>
    <col min="38" max="16384" width="9.140625" style="2"/>
  </cols>
  <sheetData>
    <row r="1" spans="1:37" x14ac:dyDescent="0.25">
      <c r="A1" s="21" t="s">
        <v>51</v>
      </c>
      <c r="B1" s="21" t="s">
        <v>274</v>
      </c>
      <c r="C1" s="108"/>
      <c r="D1" s="22" t="s">
        <v>341</v>
      </c>
      <c r="E1" s="22" t="s">
        <v>342</v>
      </c>
      <c r="F1" s="22" t="s">
        <v>343</v>
      </c>
      <c r="G1" s="22" t="s">
        <v>344</v>
      </c>
      <c r="H1" s="39" t="s">
        <v>353</v>
      </c>
      <c r="I1" s="39" t="s">
        <v>354</v>
      </c>
      <c r="J1" s="39" t="s">
        <v>355</v>
      </c>
      <c r="K1" s="40" t="s">
        <v>356</v>
      </c>
      <c r="L1" s="40" t="s">
        <v>357</v>
      </c>
      <c r="M1" s="40" t="s">
        <v>358</v>
      </c>
      <c r="N1" s="40" t="s">
        <v>359</v>
      </c>
      <c r="O1" s="22" t="s">
        <v>345</v>
      </c>
      <c r="P1" s="24" t="s">
        <v>346</v>
      </c>
      <c r="Q1" s="24" t="s">
        <v>347</v>
      </c>
      <c r="R1" s="24" t="s">
        <v>348</v>
      </c>
      <c r="S1" s="24" t="s">
        <v>349</v>
      </c>
      <c r="T1" s="41" t="s">
        <v>371</v>
      </c>
      <c r="U1" s="41" t="s">
        <v>372</v>
      </c>
      <c r="V1" s="41" t="s">
        <v>373</v>
      </c>
      <c r="W1" s="41" t="s">
        <v>374</v>
      </c>
      <c r="X1" s="41" t="s">
        <v>375</v>
      </c>
      <c r="Y1" s="42" t="s">
        <v>376</v>
      </c>
      <c r="Z1" s="42" t="s">
        <v>377</v>
      </c>
      <c r="AA1" s="42" t="s">
        <v>378</v>
      </c>
      <c r="AB1" s="42" t="s">
        <v>379</v>
      </c>
      <c r="AC1" s="42" t="s">
        <v>380</v>
      </c>
      <c r="AD1" s="24" t="s">
        <v>350</v>
      </c>
      <c r="AE1" s="24" t="s">
        <v>351</v>
      </c>
      <c r="AF1" s="24" t="s">
        <v>352</v>
      </c>
      <c r="AG1" s="41" t="s">
        <v>381</v>
      </c>
      <c r="AH1" s="41" t="s">
        <v>382</v>
      </c>
      <c r="AI1" s="42" t="s">
        <v>383</v>
      </c>
      <c r="AJ1" s="42" t="s">
        <v>384</v>
      </c>
      <c r="AK1" s="42" t="s">
        <v>385</v>
      </c>
    </row>
    <row r="2" spans="1:37" x14ac:dyDescent="0.25">
      <c r="A2" s="23" t="s">
        <v>12</v>
      </c>
      <c r="B2" s="24" t="s">
        <v>289</v>
      </c>
      <c r="C2" s="2"/>
      <c r="D2" s="22">
        <f>IFERROR((s_TR/(up_RadSpec!I2*s_EF_ow*s_ED_out*s_IRS_ow*(1/1000)))*1,".")</f>
        <v>7.272727272727274E-8</v>
      </c>
      <c r="E2" s="22">
        <f>IFERROR(IF(A2="H-3",(s_TR/(up_RadSpec!G2*s_EF_ow*s_ED_out*(s_ET_ow_o+s_ET_ow_i)*(1/24)*s_IRA_ow*(1/17)*1000))*1,(s_TR/(up_RadSpec!G2*s_EF_ow*s_ED_out*(s_ET_ow_o+s_ET_ow_i)*(1/24)*s_IRA_ow*(1/s_PEF_wind)*1000))*1),".")</f>
        <v>9.0250320889537203E-5</v>
      </c>
      <c r="F2" s="22">
        <f>IFERROR((s_TR/(up_RadSpec!F2*s_EF_ow*(1/365)*s_ED_out*up_RadSpec!Q2*(s_ET_ow_o+s_ET_ow_i)*(1/24)*up_RadSpec!V2))*1,".")</f>
        <v>1.6909254955570753E-4</v>
      </c>
      <c r="G2" s="22">
        <f t="shared" ref="G2:G30" si="0">(IF(AND(ISNUMBER(D2),ISNUMBER(E2),ISNUMBER(F2)),1/((1/D2)+(1/E2)+(1/F2)),IF(AND(ISNUMBER(D2),ISNUMBER(E2),NOT(ISNUMBER(F2))), 1/((1/D2)+(1/E2)),IF(AND(ISNUMBER(D2),NOT(ISNUMBER(E2)),ISNUMBER(F2)),1/((1/D2)+(1/F2)),IF(AND(NOT(ISNUMBER(D2)),ISNUMBER(E2),ISNUMBER(F2)),1/((1/E2)+(1/F2)),IF(AND(ISNUMBER(D2),NOT(ISNUMBER(E2)),NOT(ISNUMBER(F2))),1/((1/D2)),IF(AND(NOT(ISNUMBER(D2)),NOT(ISNUMBER(E2)),ISNUMBER(F2)),1/((1/F2)),IF(AND(NOT(ISNUMBER(D2)),ISNUMBER(E2),NOT(ISNUMBER(F2))),1/((1/E2)),IF(AND(NOT(ISNUMBER(D2)),NOT(ISNUMBER(E2)),NOT(ISNUMBER(F2))),".")))))))))</f>
        <v>7.2637496932584985E-8</v>
      </c>
      <c r="H2" s="43">
        <f t="shared" ref="H2:H30" si="1">s_C*s_EF_ow*s_ED_out*s_IRS_ow*(1/1000)*1</f>
        <v>137.5</v>
      </c>
      <c r="I2" s="43">
        <f t="shared" ref="I2:I30" si="2">s_C*s_EF_ow*s_ED_out*(s_ET_ow_o+s_ET_ow_i)*(1/24)*s_IRA_ow*(1/s_PEF_wind)*1000*1</f>
        <v>0.11080293013295324</v>
      </c>
      <c r="J2" s="43">
        <f>s_C*s_EF_ow*(1/365)*s_ED_out*(s_ET_ow_o+s_ET_ow_i)*(1/24)*up_RadSpec!V2*up_RadSpec!Q2*1</f>
        <v>5.9139211196916189E-2</v>
      </c>
      <c r="K2" s="11"/>
      <c r="L2" s="11"/>
      <c r="M2" s="11"/>
      <c r="N2" s="11"/>
      <c r="O2" s="22">
        <f>IFERROR((s_TR/(up_RadSpec!F2*s_EF_ow*(1/365)*s_ED_out*up_RadSpec!Q2*(s_ET_ow_o+s_ET_ow_i)*(1/24)*up_RadSpec!V2))*1,".")</f>
        <v>1.6909254955570753E-4</v>
      </c>
      <c r="P2" s="22">
        <f>IFERROR((s_TR/(up_RadSpec!M2*s_EF_ow*(1/365)*s_ED_out*up_RadSpec!R2*(s_ET_ow_o+s_ET_ow_i)*(1/24)*up_RadSpec!W2))*1,".")</f>
        <v>3.4189433603046168E-4</v>
      </c>
      <c r="Q2" s="22">
        <f>IFERROR((s_TR/(up_RadSpec!N2*s_EF_ow*(1/365)*s_ED_out*up_RadSpec!S2*(s_ET_ow_o+s_ET_ow_i)*(1/24)*up_RadSpec!X2))*1,".")</f>
        <v>2.3221070518266771E-4</v>
      </c>
      <c r="R2" s="22">
        <f>IFERROR((s_TR/(up_RadSpec!O2*s_EF_ow*(1/365)*s_ED_out*up_RadSpec!T2*(s_ET_ow_o+s_ET_ow_i)*(1/24)*up_RadSpec!Y2))*1,".")</f>
        <v>1.9301841948900773E-4</v>
      </c>
      <c r="S2" s="22">
        <f>IFERROR((s_TR/(up_RadSpec!K2*s_EF_ow*(1/365)*s_ED_out*up_RadSpec!P2*(s_ET_ow_o+s_ET_ow_i)*(1/24)*up_RadSpec!U2))*1,".")</f>
        <v>2.7055190009399764E-3</v>
      </c>
      <c r="T2" s="43">
        <f>s_C*s_EF_ow*(1/365)*s_ED_out*(s_ET_ow_o+s_ET_ow_i)*(1/24)*up_RadSpec!V2*up_RadSpec!Q2*1</f>
        <v>5.9139211196916189E-2</v>
      </c>
      <c r="U2" s="43">
        <f>s_C*s_EF_ow*(1/365)*s_ED_out*(s_ET_ow_o+s_ET_ow_i)*(1/24)*up_RadSpec!W2*up_RadSpec!R2*1</f>
        <v>2.9248802762000235E-2</v>
      </c>
      <c r="V2" s="43">
        <f>s_C*s_EF_ow*(1/365)*s_ED_out*(s_ET_ow_o+s_ET_ow_i)*(1/24)*up_RadSpec!X2*up_RadSpec!S2*1</f>
        <v>4.3064336728720308E-2</v>
      </c>
      <c r="W2" s="43">
        <f>s_C*s_EF_ow*(1/365)*s_ED_out*(s_ET_ow_o+s_ET_ow_i)*(1/24)*up_RadSpec!Y2*up_RadSpec!T2*1</f>
        <v>5.1808527012467305E-2</v>
      </c>
      <c r="X2" s="43">
        <f>s_C*s_EF_ow*(1/365)*s_ED_out*(s_ET_ow_o+s_ET_ow_i)*(1/24)*up_RadSpec!U2*up_RadSpec!P2*1</f>
        <v>3.6961485010919195E-3</v>
      </c>
      <c r="Y2" s="11"/>
      <c r="Z2" s="11"/>
      <c r="AA2" s="11"/>
      <c r="AB2" s="11"/>
      <c r="AC2" s="11"/>
      <c r="AD2" s="22">
        <f>IFERROR(s_TR/(up_RadSpec!G2*s_EF_ow*s_ED_out*(s_ET_ow_o+s_ET_ow_i)*(1/24)*s_IRA_ow),".")</f>
        <v>2.9090909090909094E-10</v>
      </c>
      <c r="AE2" s="22">
        <f>IFERROR(s_TR/(up_RadSpec!J2*s_EF_ow*(1/365)*s_ED_out*(s_ET_ow_o+s_ET_ow_i)*(1/24)*s_GSF_a),".")</f>
        <v>6.3709090909090908E-6</v>
      </c>
      <c r="AF2" s="22">
        <f t="shared" ref="AF2" si="3">IFERROR(IF(AND(ISNUMBER(AD2),ISNUMBER(AE2)),1/((1/AD2)+(1/AE2)),IF(AND(ISNUMBER(AD2),NOT(ISNUMBER(AE2))),1/((1/AD2)),IF(AND(NOT(ISNUMBER(AD2)),ISNUMBER(AE2)),1/((1/AE2)),IF(AND(NOT(ISNUMBER(AD2)),NOT(ISNUMBER(AE2))),".")))),".")</f>
        <v>2.9089580799548386E-10</v>
      </c>
      <c r="AG2" s="43">
        <f t="shared" ref="AG2:AG30" si="4">s_C*s_EF_ow*s_ED_out*(s_ET_ow_o+s_ET_ow_i)*(1/24)*s_IRA_ow*1</f>
        <v>34375</v>
      </c>
      <c r="AH2" s="43">
        <f t="shared" ref="AH2:AH30" si="5">s_C*s_EF_ow*(1/365)*s_ED_out*(s_ET_ow_o+s_ET_ow_i)*(1/24)*s_GSF_a*1</f>
        <v>1.5696347031963471</v>
      </c>
      <c r="AI2" s="11"/>
      <c r="AJ2" s="11"/>
      <c r="AK2" s="11"/>
    </row>
    <row r="3" spans="1:37" x14ac:dyDescent="0.25">
      <c r="A3" s="25" t="s">
        <v>13</v>
      </c>
      <c r="B3" s="24" t="s">
        <v>275</v>
      </c>
      <c r="C3" s="2"/>
      <c r="D3" s="22">
        <f>IFERROR((s_TR/(up_RadSpec!I3*s_EF_ow*s_ED_out*s_IRS_ow*(1/1000)))*1,".")</f>
        <v>7.272727272727274E-8</v>
      </c>
      <c r="E3" s="22">
        <f>IFERROR(IF(A3="H-3",(s_TR/(up_RadSpec!G3*s_EF_ow*s_ED_out*(s_ET_ow_o+s_ET_ow_i)*(1/24)*s_IRA_ow*(1/17)*1000))*1,(s_TR/(up_RadSpec!G3*s_EF_ow*s_ED_out*(s_ET_ow_o+s_ET_ow_i)*(1/24)*s_IRA_ow*(1/s_PEF_wind)*1000))*1),".")</f>
        <v>9.0250320889537203E-5</v>
      </c>
      <c r="F3" s="22">
        <f>IFERROR((s_TR/(up_RadSpec!F3*s_EF_ow*(1/365)*s_ED_out*up_RadSpec!Q3*(s_ET_ow_o+s_ET_ow_i)*(1/24)*up_RadSpec!V3))*1,".")</f>
        <v>2.2184415584415595E-2</v>
      </c>
      <c r="G3" s="22">
        <f t="shared" si="0"/>
        <v>7.2668475370604101E-8</v>
      </c>
      <c r="H3" s="43">
        <f t="shared" si="1"/>
        <v>137.5</v>
      </c>
      <c r="I3" s="43">
        <f t="shared" si="2"/>
        <v>0.11080293013295324</v>
      </c>
      <c r="J3" s="43">
        <f>s_C*s_EF_ow*(1/365)*s_ED_out*(s_ET_ow_o+s_ET_ow_i)*(1/24)*up_RadSpec!V3*up_RadSpec!Q3*1</f>
        <v>4.5076688912305335E-4</v>
      </c>
      <c r="K3" s="4"/>
      <c r="L3" s="4"/>
      <c r="M3" s="4"/>
      <c r="N3" s="4"/>
      <c r="O3" s="22">
        <f>IFERROR((s_TR/(up_RadSpec!F3*s_EF_ow*(1/365)*s_ED_out*up_RadSpec!Q3*(s_ET_ow_o+s_ET_ow_i)*(1/24)*up_RadSpec!V3))*1,".")</f>
        <v>2.2184415584415595E-2</v>
      </c>
      <c r="P3" s="22">
        <f>IFERROR((s_TR/(up_RadSpec!M3*s_EF_ow*(1/365)*s_ED_out*up_RadSpec!R3*(s_ET_ow_o+s_ET_ow_i)*(1/24)*up_RadSpec!W3))*1,".")</f>
        <v>3.1106175132324276E-2</v>
      </c>
      <c r="Q3" s="22">
        <f>IFERROR((s_TR/(up_RadSpec!N3*s_EF_ow*(1/365)*s_ED_out*up_RadSpec!S3*(s_ET_ow_o+s_ET_ow_i)*(1/24)*up_RadSpec!X3))*1,".")</f>
        <v>2.3582923154193879E-2</v>
      </c>
      <c r="R3" s="22">
        <f>IFERROR((s_TR/(up_RadSpec!O3*s_EF_ow*(1/365)*s_ED_out*up_RadSpec!T3*(s_ET_ow_o+s_ET_ow_i)*(1/24)*up_RadSpec!Y3))*1,".")</f>
        <v>2.4309683536802174E-2</v>
      </c>
      <c r="S3" s="22">
        <f>IFERROR((s_TR/(up_RadSpec!K3*s_EF_ow*(1/365)*s_ED_out*up_RadSpec!P3*(s_ET_ow_o+s_ET_ow_i)*(1/24)*up_RadSpec!U3))*1,".")</f>
        <v>4.8228185429946425E-2</v>
      </c>
      <c r="T3" s="43">
        <f>s_C*s_EF_ow*(1/365)*s_ED_out*(s_ET_ow_o+s_ET_ow_i)*(1/24)*up_RadSpec!V3*up_RadSpec!Q3*1</f>
        <v>4.5076688912305335E-4</v>
      </c>
      <c r="U3" s="43">
        <f>s_C*s_EF_ow*(1/365)*s_ED_out*(s_ET_ow_o+s_ET_ow_i)*(1/24)*up_RadSpec!W3*up_RadSpec!R3*1</f>
        <v>3.2147957624042333E-4</v>
      </c>
      <c r="V3" s="43">
        <f>s_C*s_EF_ow*(1/365)*s_ED_out*(s_ET_ow_o+s_ET_ow_i)*(1/24)*up_RadSpec!X3*up_RadSpec!S3*1</f>
        <v>4.2403564369931164E-4</v>
      </c>
      <c r="W3" s="43">
        <f>s_C*s_EF_ow*(1/365)*s_ED_out*(s_ET_ow_o+s_ET_ow_i)*(1/24)*up_RadSpec!Y3*up_RadSpec!T3*1</f>
        <v>4.1135870752332526E-4</v>
      </c>
      <c r="X3" s="43">
        <f>s_C*s_EF_ow*(1/365)*s_ED_out*(s_ET_ow_o+s_ET_ow_i)*(1/24)*up_RadSpec!U3*up_RadSpec!P3*1</f>
        <v>2.073476310761358E-4</v>
      </c>
      <c r="Y3" s="11"/>
      <c r="Z3" s="11"/>
      <c r="AA3" s="11"/>
      <c r="AB3" s="11"/>
      <c r="AC3" s="11"/>
      <c r="AD3" s="22">
        <f>IFERROR(s_TR/(up_RadSpec!G3*s_EF_ow*s_ED_out*(s_ET_ow_o+s_ET_ow_i)*(1/24)*s_IRA_ow),".")</f>
        <v>2.9090909090909094E-10</v>
      </c>
      <c r="AE3" s="22">
        <f>IFERROR(s_TR/(up_RadSpec!J3*s_EF_ow*(1/365)*s_ED_out*(s_ET_ow_o+s_ET_ow_i)*(1/24)*s_GSF_a),".")</f>
        <v>6.3709090909090908E-6</v>
      </c>
      <c r="AF3" s="22">
        <f>IFERROR(IF(AND(ISNUMBER(AD3),ISNUMBER(AE3)),1/((1/AD3)+(1/AE3)),IF(AND(ISNUMBER(AD3),NOT(ISNUMBER(AE3))),1/((1/AD3)),IF(AND(NOT(ISNUMBER(AD3)),ISNUMBER(AE3)),1/((1/AE3)),IF(AND(NOT(ISNUMBER(AD3)),NOT(ISNUMBER(AE3))),".")))),".")</f>
        <v>2.9089580799548386E-10</v>
      </c>
      <c r="AG3" s="43">
        <f t="shared" si="4"/>
        <v>34375</v>
      </c>
      <c r="AH3" s="43">
        <f t="shared" si="5"/>
        <v>1.5696347031963471</v>
      </c>
      <c r="AI3" s="10"/>
      <c r="AJ3" s="10"/>
      <c r="AK3" s="10"/>
    </row>
    <row r="4" spans="1:37" x14ac:dyDescent="0.25">
      <c r="A4" s="23" t="s">
        <v>14</v>
      </c>
      <c r="B4" s="24" t="s">
        <v>289</v>
      </c>
      <c r="C4" s="2"/>
      <c r="D4" s="22">
        <f>IFERROR((s_TR/(up_RadSpec!I4*s_EF_ow*s_ED_out*s_IRS_ow*(1/1000)))*1,".")</f>
        <v>7.272727272727274E-8</v>
      </c>
      <c r="E4" s="22">
        <f>IFERROR(IF(A4="H-3",(s_TR/(up_RadSpec!G4*s_EF_ow*s_ED_out*(s_ET_ow_o+s_ET_ow_i)*(1/24)*s_IRA_ow*(1/17)*1000))*1,(s_TR/(up_RadSpec!G4*s_EF_ow*s_ED_out*(s_ET_ow_o+s_ET_ow_i)*(1/24)*s_IRA_ow*(1/s_PEF_wind)*1000))*1),".")</f>
        <v>9.0250320889537203E-5</v>
      </c>
      <c r="F4" s="22">
        <f>IFERROR((s_TR/(up_RadSpec!F4*s_EF_ow*(1/365)*s_ED_out*up_RadSpec!Q4*(s_ET_ow_o+s_ET_ow_i)*(1/24)*up_RadSpec!V4))*1,".")</f>
        <v>8.2585858585858629E-5</v>
      </c>
      <c r="G4" s="22">
        <f t="shared" si="0"/>
        <v>7.260482717550008E-8</v>
      </c>
      <c r="H4" s="43">
        <f t="shared" si="1"/>
        <v>137.5</v>
      </c>
      <c r="I4" s="43">
        <f t="shared" si="2"/>
        <v>0.11080293013295324</v>
      </c>
      <c r="J4" s="43">
        <f>s_C*s_EF_ow*(1/365)*s_ED_out*(s_ET_ow_o+s_ET_ow_i)*(1/24)*up_RadSpec!V4*up_RadSpec!Q4*1</f>
        <v>0.12108610567514676</v>
      </c>
      <c r="K4" s="4"/>
      <c r="L4" s="4"/>
      <c r="M4" s="4"/>
      <c r="N4" s="4"/>
      <c r="O4" s="22">
        <f>IFERROR((s_TR/(up_RadSpec!F4*s_EF_ow*(1/365)*s_ED_out*up_RadSpec!Q4*(s_ET_ow_o+s_ET_ow_i)*(1/24)*up_RadSpec!V4))*1,".")</f>
        <v>8.2585858585858629E-5</v>
      </c>
      <c r="P4" s="22">
        <f>IFERROR((s_TR/(up_RadSpec!M4*s_EF_ow*(1/365)*s_ED_out*up_RadSpec!R4*(s_ET_ow_o+s_ET_ow_i)*(1/24)*up_RadSpec!W4))*1,".")</f>
        <v>1.3476923076923084E-4</v>
      </c>
      <c r="Q4" s="22">
        <f>IFERROR((s_TR/(up_RadSpec!N4*s_EF_ow*(1/365)*s_ED_out*up_RadSpec!S4*(s_ET_ow_o+s_ET_ow_i)*(1/24)*up_RadSpec!X4))*1,".")</f>
        <v>9.6948616600790494E-5</v>
      </c>
      <c r="R4" s="22">
        <f>IFERROR((s_TR/(up_RadSpec!O4*s_EF_ow*(1/365)*s_ED_out*up_RadSpec!T4*(s_ET_ow_o+s_ET_ow_i)*(1/24)*up_RadSpec!Y4))*1,".")</f>
        <v>8.4393416567329625E-5</v>
      </c>
      <c r="S4" s="22">
        <f>IFERROR((s_TR/(up_RadSpec!K4*s_EF_ow*(1/365)*s_ED_out*up_RadSpec!P4*(s_ET_ow_o+s_ET_ow_i)*(1/24)*up_RadSpec!U4))*1,".")</f>
        <v>2.4888664733324921E-4</v>
      </c>
      <c r="T4" s="43">
        <f>s_C*s_EF_ow*(1/365)*s_ED_out*(s_ET_ow_o+s_ET_ow_i)*(1/24)*up_RadSpec!V4*up_RadSpec!Q4*1</f>
        <v>0.12108610567514676</v>
      </c>
      <c r="U4" s="43">
        <f>s_C*s_EF_ow*(1/365)*s_ED_out*(s_ET_ow_o+s_ET_ow_i)*(1/24)*up_RadSpec!W4*up_RadSpec!R4*1</f>
        <v>7.4200913242009128E-2</v>
      </c>
      <c r="V4" s="43">
        <f>s_C*s_EF_ow*(1/365)*s_ED_out*(s_ET_ow_o+s_ET_ow_i)*(1/24)*up_RadSpec!X4*up_RadSpec!S4*1</f>
        <v>0.10314742335290283</v>
      </c>
      <c r="W4" s="43">
        <f>s_C*s_EF_ow*(1/365)*s_ED_out*(s_ET_ow_o+s_ET_ow_i)*(1/24)*up_RadSpec!Y4*up_RadSpec!T4*1</f>
        <v>0.11849265507602641</v>
      </c>
      <c r="X4" s="43">
        <f>s_C*s_EF_ow*(1/365)*s_ED_out*(s_ET_ow_o+s_ET_ow_i)*(1/24)*up_RadSpec!U4*up_RadSpec!P4*1</f>
        <v>4.0178933290102962E-2</v>
      </c>
      <c r="Y4" s="11"/>
      <c r="Z4" s="11"/>
      <c r="AA4" s="11"/>
      <c r="AB4" s="11"/>
      <c r="AC4" s="11"/>
      <c r="AD4" s="22">
        <f>IFERROR(s_TR/(up_RadSpec!G4*s_EF_ow*s_ED_out*(s_ET_ow_o+s_ET_ow_i)*(1/24)*s_IRA_ow),".")</f>
        <v>2.9090909090909094E-10</v>
      </c>
      <c r="AE4" s="22">
        <f>IFERROR(s_TR/(up_RadSpec!J4*s_EF_ow*(1/365)*s_ED_out*(s_ET_ow_o+s_ET_ow_i)*(1/24)*s_GSF_a),".")</f>
        <v>6.3709090909090908E-6</v>
      </c>
      <c r="AF4" s="22">
        <f t="shared" ref="AF4:AF30" si="6">IFERROR(IF(AND(ISNUMBER(AD4),ISNUMBER(AE4)),1/((1/AD4)+(1/AE4)),IF(AND(ISNUMBER(AD4),NOT(ISNUMBER(AE4))),1/((1/AD4)),IF(AND(NOT(ISNUMBER(AD4)),ISNUMBER(AE4)),1/((1/AE4)),IF(AND(NOT(ISNUMBER(AD4)),NOT(ISNUMBER(AE4))),".")))),".")</f>
        <v>2.9089580799548386E-10</v>
      </c>
      <c r="AG4" s="43">
        <f t="shared" si="4"/>
        <v>34375</v>
      </c>
      <c r="AH4" s="43">
        <f t="shared" si="5"/>
        <v>1.5696347031963471</v>
      </c>
      <c r="AI4" s="10"/>
      <c r="AJ4" s="10"/>
      <c r="AK4" s="10"/>
    </row>
    <row r="5" spans="1:37" x14ac:dyDescent="0.25">
      <c r="A5" s="23" t="s">
        <v>15</v>
      </c>
      <c r="B5" s="24" t="s">
        <v>289</v>
      </c>
      <c r="C5" s="109"/>
      <c r="D5" s="22">
        <f>IFERROR((s_TR/(up_RadSpec!I5*s_EF_ow*s_ED_out*s_IRS_ow*(1/1000)))*1,".")</f>
        <v>7.272727272727274E-8</v>
      </c>
      <c r="E5" s="22">
        <f>IFERROR(IF(A5="H-3",(s_TR/(up_RadSpec!G5*s_EF_ow*s_ED_out*(s_ET_ow_o+s_ET_ow_i)*(1/24)*s_IRA_ow*(1/17)*1000))*1,(s_TR/(up_RadSpec!G5*s_EF_ow*s_ED_out*(s_ET_ow_o+s_ET_ow_i)*(1/24)*s_IRA_ow*(1/s_PEF_wind)*1000))*1),".")</f>
        <v>9.0250320889537203E-5</v>
      </c>
      <c r="F5" s="22" t="str">
        <f>IFERROR((s_TR/(up_RadSpec!F5*s_EF_ow*(1/365)*s_ED_out*up_RadSpec!Q5*(s_ET_ow_o+s_ET_ow_i)*(1/24)*up_RadSpec!V5))*1,".")</f>
        <v>.</v>
      </c>
      <c r="G5" s="22">
        <f t="shared" si="0"/>
        <v>7.26687134081846E-8</v>
      </c>
      <c r="H5" s="43">
        <f t="shared" si="1"/>
        <v>137.5</v>
      </c>
      <c r="I5" s="43">
        <f t="shared" si="2"/>
        <v>0.11080293013295324</v>
      </c>
      <c r="J5" s="43">
        <f>s_C*s_EF_ow*(1/365)*s_ED_out*(s_ET_ow_o+s_ET_ow_i)*(1/24)*up_RadSpec!V5*up_RadSpec!Q5*1</f>
        <v>0</v>
      </c>
      <c r="K5" s="4"/>
      <c r="L5" s="4"/>
      <c r="M5" s="4"/>
      <c r="N5" s="4"/>
      <c r="O5" s="22" t="str">
        <f>IFERROR((s_TR/(up_RadSpec!F5*s_EF_ow*(1/365)*s_ED_out*up_RadSpec!Q5*(s_ET_ow_o+s_ET_ow_i)*(1/24)*up_RadSpec!V5))*1,".")</f>
        <v>.</v>
      </c>
      <c r="P5" s="22" t="str">
        <f>IFERROR((s_TR/(up_RadSpec!M5*s_EF_ow*(1/365)*s_ED_out*up_RadSpec!R5*(s_ET_ow_o+s_ET_ow_i)*(1/24)*up_RadSpec!W5))*1,".")</f>
        <v>.</v>
      </c>
      <c r="Q5" s="22" t="str">
        <f>IFERROR((s_TR/(up_RadSpec!N5*s_EF_ow*(1/365)*s_ED_out*up_RadSpec!S5*(s_ET_ow_o+s_ET_ow_i)*(1/24)*up_RadSpec!X5))*1,".")</f>
        <v>.</v>
      </c>
      <c r="R5" s="22" t="str">
        <f>IFERROR((s_TR/(up_RadSpec!O5*s_EF_ow*(1/365)*s_ED_out*up_RadSpec!T5*(s_ET_ow_o+s_ET_ow_i)*(1/24)*up_RadSpec!Y5))*1,".")</f>
        <v>.</v>
      </c>
      <c r="S5" s="22" t="str">
        <f>IFERROR((s_TR/(up_RadSpec!K5*s_EF_ow*(1/365)*s_ED_out*up_RadSpec!P5*(s_ET_ow_o+s_ET_ow_i)*(1/24)*up_RadSpec!U5))*1,".")</f>
        <v>.</v>
      </c>
      <c r="T5" s="43">
        <f>s_C*s_EF_ow*(1/365)*s_ED_out*(s_ET_ow_o+s_ET_ow_i)*(1/24)*up_RadSpec!V5*up_RadSpec!Q5*1</f>
        <v>0</v>
      </c>
      <c r="U5" s="43">
        <f>s_C*s_EF_ow*(1/365)*s_ED_out*(s_ET_ow_o+s_ET_ow_i)*(1/24)*up_RadSpec!W5*up_RadSpec!R5*1</f>
        <v>0</v>
      </c>
      <c r="V5" s="43">
        <f>s_C*s_EF_ow*(1/365)*s_ED_out*(s_ET_ow_o+s_ET_ow_i)*(1/24)*up_RadSpec!X5*up_RadSpec!S5*1</f>
        <v>0</v>
      </c>
      <c r="W5" s="43">
        <f>s_C*s_EF_ow*(1/365)*s_ED_out*(s_ET_ow_o+s_ET_ow_i)*(1/24)*up_RadSpec!Y5*up_RadSpec!T5*1</f>
        <v>0</v>
      </c>
      <c r="X5" s="43">
        <f>s_C*s_EF_ow*(1/365)*s_ED_out*(s_ET_ow_o+s_ET_ow_i)*(1/24)*up_RadSpec!U5*up_RadSpec!P5*1</f>
        <v>0</v>
      </c>
      <c r="Y5" s="11"/>
      <c r="Z5" s="11"/>
      <c r="AA5" s="11"/>
      <c r="AB5" s="11"/>
      <c r="AC5" s="11"/>
      <c r="AD5" s="22">
        <f>IFERROR(s_TR/(up_RadSpec!G5*s_EF_ow*s_ED_out*(s_ET_ow_o+s_ET_ow_i)*(1/24)*s_IRA_ow),".")</f>
        <v>2.9090909090909094E-10</v>
      </c>
      <c r="AE5" s="22">
        <f>IFERROR(s_TR/(up_RadSpec!J5*s_EF_ow*(1/365)*s_ED_out*(s_ET_ow_o+s_ET_ow_i)*(1/24)*s_GSF_a),".")</f>
        <v>6.3709090909090908E-6</v>
      </c>
      <c r="AF5" s="22">
        <f t="shared" si="6"/>
        <v>2.9089580799548386E-10</v>
      </c>
      <c r="AG5" s="43">
        <f t="shared" si="4"/>
        <v>34375</v>
      </c>
      <c r="AH5" s="43">
        <f t="shared" si="5"/>
        <v>1.5696347031963471</v>
      </c>
      <c r="AI5" s="10"/>
      <c r="AJ5" s="10"/>
      <c r="AK5" s="10"/>
    </row>
    <row r="6" spans="1:37" x14ac:dyDescent="0.25">
      <c r="A6" s="23" t="s">
        <v>16</v>
      </c>
      <c r="B6" s="24" t="s">
        <v>289</v>
      </c>
      <c r="C6" s="2"/>
      <c r="D6" s="22">
        <f>IFERROR((s_TR/(up_RadSpec!I6*s_EF_ow*s_ED_out*s_IRS_ow*(1/1000)))*1,".")</f>
        <v>7.272727272727274E-8</v>
      </c>
      <c r="E6" s="22">
        <f>IFERROR(IF(A6="H-3",(s_TR/(up_RadSpec!G6*s_EF_ow*s_ED_out*(s_ET_ow_o+s_ET_ow_i)*(1/24)*s_IRA_ow*(1/17)*1000))*1,(s_TR/(up_RadSpec!G6*s_EF_ow*s_ED_out*(s_ET_ow_o+s_ET_ow_i)*(1/24)*s_IRA_ow*(1/s_PEF_wind)*1000))*1),".")</f>
        <v>9.0250320889537203E-5</v>
      </c>
      <c r="F6" s="22">
        <f>IFERROR((s_TR/(up_RadSpec!F6*s_EF_ow*(1/365)*s_ED_out*up_RadSpec!Q6*(s_ET_ow_o+s_ET_ow_i)*(1/24)*up_RadSpec!V6))*1,".")</f>
        <v>4.2446729275997562E-5</v>
      </c>
      <c r="G6" s="22">
        <f t="shared" si="0"/>
        <v>7.2544517343373975E-8</v>
      </c>
      <c r="H6" s="43">
        <f t="shared" si="1"/>
        <v>137.5</v>
      </c>
      <c r="I6" s="43">
        <f t="shared" si="2"/>
        <v>0.11080293013295324</v>
      </c>
      <c r="J6" s="43">
        <f>s_C*s_EF_ow*(1/365)*s_ED_out*(s_ET_ow_o+s_ET_ow_i)*(1/24)*up_RadSpec!V6*up_RadSpec!Q6*1</f>
        <v>0.23558941220130064</v>
      </c>
      <c r="K6" s="4"/>
      <c r="L6" s="4"/>
      <c r="M6" s="4"/>
      <c r="N6" s="4"/>
      <c r="O6" s="22">
        <f>IFERROR((s_TR/(up_RadSpec!F6*s_EF_ow*(1/365)*s_ED_out*up_RadSpec!Q6*(s_ET_ow_o+s_ET_ow_i)*(1/24)*up_RadSpec!V6))*1,".")</f>
        <v>4.2446729275997562E-5</v>
      </c>
      <c r="P6" s="22">
        <f>IFERROR((s_TR/(up_RadSpec!M6*s_EF_ow*(1/365)*s_ED_out*up_RadSpec!R6*(s_ET_ow_o+s_ET_ow_i)*(1/24)*up_RadSpec!W6))*1,".")</f>
        <v>7.924099104449249E-5</v>
      </c>
      <c r="Q6" s="22">
        <f>IFERROR((s_TR/(up_RadSpec!N6*s_EF_ow*(1/365)*s_ED_out*up_RadSpec!S6*(s_ET_ow_o+s_ET_ow_i)*(1/24)*up_RadSpec!X6))*1,".")</f>
        <v>5.5996573198457968E-5</v>
      </c>
      <c r="R6" s="22">
        <f>IFERROR((s_TR/(up_RadSpec!O6*s_EF_ow*(1/365)*s_ED_out*up_RadSpec!T6*(s_ET_ow_o+s_ET_ow_i)*(1/24)*up_RadSpec!Y6))*1,".")</f>
        <v>4.6307070707070694E-5</v>
      </c>
      <c r="S6" s="22">
        <f>IFERROR((s_TR/(up_RadSpec!K6*s_EF_ow*(1/365)*s_ED_out*up_RadSpec!P6*(s_ET_ow_o+s_ET_ow_i)*(1/24)*up_RadSpec!U6))*1,".")</f>
        <v>1.3310541310541317E-4</v>
      </c>
      <c r="T6" s="43">
        <f>s_C*s_EF_ow*(1/365)*s_ED_out*(s_ET_ow_o+s_ET_ow_i)*(1/24)*up_RadSpec!V6*up_RadSpec!Q6*1</f>
        <v>0.23558941220130064</v>
      </c>
      <c r="U6" s="43">
        <f>s_C*s_EF_ow*(1/365)*s_ED_out*(s_ET_ow_o+s_ET_ow_i)*(1/24)*up_RadSpec!W6*up_RadSpec!R6*1</f>
        <v>0.12619731111622734</v>
      </c>
      <c r="V6" s="43">
        <f>s_C*s_EF_ow*(1/365)*s_ED_out*(s_ET_ow_o+s_ET_ow_i)*(1/24)*up_RadSpec!X6*up_RadSpec!S6*1</f>
        <v>0.17858235654097818</v>
      </c>
      <c r="W6" s="43">
        <f>s_C*s_EF_ow*(1/365)*s_ED_out*(s_ET_ow_o+s_ET_ow_i)*(1/24)*up_RadSpec!Y6*up_RadSpec!T6*1</f>
        <v>0.21594974260535738</v>
      </c>
      <c r="X6" s="43">
        <f>s_C*s_EF_ow*(1/365)*s_ED_out*(s_ET_ow_o+s_ET_ow_i)*(1/24)*up_RadSpec!U6*up_RadSpec!P6*1</f>
        <v>7.5128424657534221E-2</v>
      </c>
      <c r="Y6" s="11"/>
      <c r="Z6" s="11"/>
      <c r="AA6" s="11"/>
      <c r="AB6" s="11"/>
      <c r="AC6" s="11"/>
      <c r="AD6" s="22">
        <f>IFERROR(s_TR/(up_RadSpec!G6*s_EF_ow*s_ED_out*(s_ET_ow_o+s_ET_ow_i)*(1/24)*s_IRA_ow),".")</f>
        <v>2.9090909090909094E-10</v>
      </c>
      <c r="AE6" s="22">
        <f>IFERROR(s_TR/(up_RadSpec!J6*s_EF_ow*(1/365)*s_ED_out*(s_ET_ow_o+s_ET_ow_i)*(1/24)*s_GSF_a),".")</f>
        <v>6.3709090909090908E-6</v>
      </c>
      <c r="AF6" s="22">
        <f t="shared" si="6"/>
        <v>2.9089580799548386E-10</v>
      </c>
      <c r="AG6" s="43">
        <f t="shared" si="4"/>
        <v>34375</v>
      </c>
      <c r="AH6" s="43">
        <f t="shared" si="5"/>
        <v>1.5696347031963471</v>
      </c>
      <c r="AI6" s="10"/>
      <c r="AJ6" s="10"/>
      <c r="AK6" s="10"/>
    </row>
    <row r="7" spans="1:37" x14ac:dyDescent="0.25">
      <c r="A7" s="23" t="s">
        <v>17</v>
      </c>
      <c r="B7" s="24" t="s">
        <v>289</v>
      </c>
      <c r="C7" s="109"/>
      <c r="D7" s="22">
        <f>IFERROR((s_TR/(up_RadSpec!I7*s_EF_ow*s_ED_out*s_IRS_ow*(1/1000)))*1,".")</f>
        <v>7.272727272727274E-8</v>
      </c>
      <c r="E7" s="22">
        <f>IFERROR(IF(A7="H-3",(s_TR/(up_RadSpec!G7*s_EF_ow*s_ED_out*(s_ET_ow_o+s_ET_ow_i)*(1/24)*s_IRA_ow*(1/17)*1000))*1,(s_TR/(up_RadSpec!G7*s_EF_ow*s_ED_out*(s_ET_ow_o+s_ET_ow_i)*(1/24)*s_IRA_ow*(1/s_PEF_wind)*1000))*1),".")</f>
        <v>9.0250320889537203E-5</v>
      </c>
      <c r="F7" s="22">
        <f>IFERROR((s_TR/(up_RadSpec!F7*s_EF_ow*(1/365)*s_ED_out*up_RadSpec!Q7*(s_ET_ow_o+s_ET_ow_i)*(1/24)*up_RadSpec!V7))*1,".")</f>
        <v>9.1843397478433964E-5</v>
      </c>
      <c r="G7" s="22">
        <f t="shared" si="0"/>
        <v>7.2611261624974268E-8</v>
      </c>
      <c r="H7" s="43">
        <f t="shared" si="1"/>
        <v>137.5</v>
      </c>
      <c r="I7" s="43">
        <f t="shared" si="2"/>
        <v>0.11080293013295324</v>
      </c>
      <c r="J7" s="43">
        <f>s_C*s_EF_ow*(1/365)*s_ED_out*(s_ET_ow_o+s_ET_ow_i)*(1/24)*up_RadSpec!V7*up_RadSpec!Q7*1</f>
        <v>0.10888098953817704</v>
      </c>
      <c r="K7" s="4"/>
      <c r="L7" s="4"/>
      <c r="M7" s="4"/>
      <c r="N7" s="4"/>
      <c r="O7" s="22">
        <f>IFERROR((s_TR/(up_RadSpec!F7*s_EF_ow*(1/365)*s_ED_out*up_RadSpec!Q7*(s_ET_ow_o+s_ET_ow_i)*(1/24)*up_RadSpec!V7))*1,".")</f>
        <v>9.1843397478433964E-5</v>
      </c>
      <c r="P7" s="22">
        <f>IFERROR((s_TR/(up_RadSpec!M7*s_EF_ow*(1/365)*s_ED_out*up_RadSpec!R7*(s_ET_ow_o+s_ET_ow_i)*(1/24)*up_RadSpec!W7))*1,".")</f>
        <v>1.4611153552330033E-4</v>
      </c>
      <c r="Q7" s="22">
        <f>IFERROR((s_TR/(up_RadSpec!N7*s_EF_ow*(1/365)*s_ED_out*up_RadSpec!S7*(s_ET_ow_o+s_ET_ow_i)*(1/24)*up_RadSpec!X7))*1,".")</f>
        <v>1.0704545454545457E-4</v>
      </c>
      <c r="R7" s="22">
        <f>IFERROR((s_TR/(up_RadSpec!O7*s_EF_ow*(1/365)*s_ED_out*up_RadSpec!T7*(s_ET_ow_o+s_ET_ow_i)*(1/24)*up_RadSpec!Y7))*1,".")</f>
        <v>9.8471359678034887E-5</v>
      </c>
      <c r="S7" s="22">
        <f>IFERROR((s_TR/(up_RadSpec!K7*s_EF_ow*(1/365)*s_ED_out*up_RadSpec!P7*(s_ET_ow_o+s_ET_ow_i)*(1/24)*up_RadSpec!U7))*1,".")</f>
        <v>2.500423640530592E-4</v>
      </c>
      <c r="T7" s="43">
        <f>s_C*s_EF_ow*(1/365)*s_ED_out*(s_ET_ow_o+s_ET_ow_i)*(1/24)*up_RadSpec!V7*up_RadSpec!Q7*1</f>
        <v>0.10888098953817704</v>
      </c>
      <c r="U7" s="43">
        <f>s_C*s_EF_ow*(1/365)*s_ED_out*(s_ET_ow_o+s_ET_ow_i)*(1/24)*up_RadSpec!W7*up_RadSpec!R7*1</f>
        <v>6.8440865837080381E-2</v>
      </c>
      <c r="V7" s="43">
        <f>s_C*s_EF_ow*(1/365)*s_ED_out*(s_ET_ow_o+s_ET_ow_i)*(1/24)*up_RadSpec!X7*up_RadSpec!S7*1</f>
        <v>9.3418259023354558E-2</v>
      </c>
      <c r="W7" s="43">
        <f>s_C*s_EF_ow*(1/365)*s_ED_out*(s_ET_ow_o+s_ET_ow_i)*(1/24)*up_RadSpec!Y7*up_RadSpec!T7*1</f>
        <v>0.10155237048311634</v>
      </c>
      <c r="X7" s="43">
        <f>s_C*s_EF_ow*(1/365)*s_ED_out*(s_ET_ow_o+s_ET_ow_i)*(1/24)*up_RadSpec!U7*up_RadSpec!P7*1</f>
        <v>3.9993222899932249E-2</v>
      </c>
      <c r="Y7" s="11"/>
      <c r="Z7" s="11"/>
      <c r="AA7" s="11"/>
      <c r="AB7" s="11"/>
      <c r="AC7" s="11"/>
      <c r="AD7" s="22">
        <f>IFERROR(s_TR/(up_RadSpec!G7*s_EF_ow*s_ED_out*(s_ET_ow_o+s_ET_ow_i)*(1/24)*s_IRA_ow),".")</f>
        <v>2.9090909090909094E-10</v>
      </c>
      <c r="AE7" s="22">
        <f>IFERROR(s_TR/(up_RadSpec!J7*s_EF_ow*(1/365)*s_ED_out*(s_ET_ow_o+s_ET_ow_i)*(1/24)*s_GSF_a),".")</f>
        <v>6.3709090909090908E-6</v>
      </c>
      <c r="AF7" s="22">
        <f t="shared" si="6"/>
        <v>2.9089580799548386E-10</v>
      </c>
      <c r="AG7" s="43">
        <f t="shared" si="4"/>
        <v>34375</v>
      </c>
      <c r="AH7" s="43">
        <f t="shared" si="5"/>
        <v>1.5696347031963471</v>
      </c>
      <c r="AI7" s="10"/>
      <c r="AJ7" s="10"/>
      <c r="AK7" s="10"/>
    </row>
    <row r="8" spans="1:37" x14ac:dyDescent="0.25">
      <c r="A8" s="23" t="s">
        <v>18</v>
      </c>
      <c r="B8" s="24" t="s">
        <v>289</v>
      </c>
      <c r="C8" s="2"/>
      <c r="D8" s="22">
        <f>IFERROR((s_TR/(up_RadSpec!I8*s_EF_ow*s_ED_out*s_IRS_ow*(1/1000)))*1,".")</f>
        <v>7.272727272727274E-8</v>
      </c>
      <c r="E8" s="22">
        <f>IFERROR(IF(A8="H-3",(s_TR/(up_RadSpec!G8*s_EF_ow*s_ED_out*(s_ET_ow_o+s_ET_ow_i)*(1/24)*s_IRA_ow*(1/17)*1000))*1,(s_TR/(up_RadSpec!G8*s_EF_ow*s_ED_out*(s_ET_ow_o+s_ET_ow_i)*(1/24)*s_IRA_ow*(1/s_PEF_wind)*1000))*1),".")</f>
        <v>9.0250320889537203E-5</v>
      </c>
      <c r="F8" s="22">
        <f>IFERROR((s_TR/(up_RadSpec!F8*s_EF_ow*(1/365)*s_ED_out*up_RadSpec!Q8*(s_ET_ow_o+s_ET_ow_i)*(1/24)*up_RadSpec!V8))*1,".")</f>
        <v>5.2797589151180345E-5</v>
      </c>
      <c r="G8" s="22">
        <f t="shared" si="0"/>
        <v>7.2568832262873637E-8</v>
      </c>
      <c r="H8" s="43">
        <f t="shared" si="1"/>
        <v>137.5</v>
      </c>
      <c r="I8" s="43">
        <f t="shared" si="2"/>
        <v>0.11080293013295324</v>
      </c>
      <c r="J8" s="43">
        <f>s_C*s_EF_ow*(1/365)*s_ED_out*(s_ET_ow_o+s_ET_ow_i)*(1/24)*up_RadSpec!V8*up_RadSpec!Q8*1</f>
        <v>0.18940258751902581</v>
      </c>
      <c r="K8" s="4"/>
      <c r="L8" s="4"/>
      <c r="M8" s="4"/>
      <c r="N8" s="4"/>
      <c r="O8" s="22">
        <f>IFERROR((s_TR/(up_RadSpec!F8*s_EF_ow*(1/365)*s_ED_out*up_RadSpec!Q8*(s_ET_ow_o+s_ET_ow_i)*(1/24)*up_RadSpec!V8))*1,".")</f>
        <v>5.2797589151180345E-5</v>
      </c>
      <c r="P8" s="22">
        <f>IFERROR((s_TR/(up_RadSpec!M8*s_EF_ow*(1/365)*s_ED_out*up_RadSpec!R8*(s_ET_ow_o+s_ET_ow_i)*(1/24)*up_RadSpec!W8))*1,".")</f>
        <v>9.6920523695371574E-5</v>
      </c>
      <c r="Q8" s="22">
        <f>IFERROR((s_TR/(up_RadSpec!N8*s_EF_ow*(1/365)*s_ED_out*up_RadSpec!S8*(s_ET_ow_o+s_ET_ow_i)*(1/24)*up_RadSpec!X8))*1,".")</f>
        <v>7.0742962621135223E-5</v>
      </c>
      <c r="R8" s="22">
        <f>IFERROR((s_TR/(up_RadSpec!O8*s_EF_ow*(1/365)*s_ED_out*up_RadSpec!T8*(s_ET_ow_o+s_ET_ow_i)*(1/24)*up_RadSpec!Y8))*1,".")</f>
        <v>6.4860129832885815E-5</v>
      </c>
      <c r="S8" s="22">
        <f>IFERROR((s_TR/(up_RadSpec!K8*s_EF_ow*(1/365)*s_ED_out*up_RadSpec!P8*(s_ET_ow_o+s_ET_ow_i)*(1/24)*up_RadSpec!U8))*1,".")</f>
        <v>1.7958267236119584E-4</v>
      </c>
      <c r="T8" s="43">
        <f>s_C*s_EF_ow*(1/365)*s_ED_out*(s_ET_ow_o+s_ET_ow_i)*(1/24)*up_RadSpec!V8*up_RadSpec!Q8*1</f>
        <v>0.18940258751902581</v>
      </c>
      <c r="U8" s="43">
        <f>s_C*s_EF_ow*(1/365)*s_ED_out*(s_ET_ow_o+s_ET_ow_i)*(1/24)*up_RadSpec!W8*up_RadSpec!R8*1</f>
        <v>0.10317732115677322</v>
      </c>
      <c r="V8" s="43">
        <f>s_C*s_EF_ow*(1/365)*s_ED_out*(s_ET_ow_o+s_ET_ow_i)*(1/24)*up_RadSpec!X8*up_RadSpec!S8*1</f>
        <v>0.14135681669928246</v>
      </c>
      <c r="W8" s="43">
        <f>s_C*s_EF_ow*(1/365)*s_ED_out*(s_ET_ow_o+s_ET_ow_i)*(1/24)*up_RadSpec!Y8*up_RadSpec!T8*1</f>
        <v>0.15417792140973693</v>
      </c>
      <c r="X8" s="43">
        <f>s_C*s_EF_ow*(1/365)*s_ED_out*(s_ET_ow_o+s_ET_ow_i)*(1/24)*up_RadSpec!U8*up_RadSpec!P8*1</f>
        <v>5.5684659708632324E-2</v>
      </c>
      <c r="Y8" s="11"/>
      <c r="Z8" s="11"/>
      <c r="AA8" s="11"/>
      <c r="AB8" s="11"/>
      <c r="AC8" s="11"/>
      <c r="AD8" s="22">
        <f>IFERROR(s_TR/(up_RadSpec!G8*s_EF_ow*s_ED_out*(s_ET_ow_o+s_ET_ow_i)*(1/24)*s_IRA_ow),".")</f>
        <v>2.9090909090909094E-10</v>
      </c>
      <c r="AE8" s="22">
        <f>IFERROR(s_TR/(up_RadSpec!J8*s_EF_ow*(1/365)*s_ED_out*(s_ET_ow_o+s_ET_ow_i)*(1/24)*s_GSF_a),".")</f>
        <v>6.3709090909090908E-6</v>
      </c>
      <c r="AF8" s="22">
        <f t="shared" si="6"/>
        <v>2.9089580799548386E-10</v>
      </c>
      <c r="AG8" s="43">
        <f t="shared" si="4"/>
        <v>34375</v>
      </c>
      <c r="AH8" s="43">
        <f t="shared" si="5"/>
        <v>1.5696347031963471</v>
      </c>
      <c r="AI8" s="10"/>
      <c r="AJ8" s="10"/>
      <c r="AK8" s="10"/>
    </row>
    <row r="9" spans="1:37" x14ac:dyDescent="0.25">
      <c r="A9" s="23" t="s">
        <v>19</v>
      </c>
      <c r="B9" s="24" t="s">
        <v>289</v>
      </c>
      <c r="C9" s="109"/>
      <c r="D9" s="22">
        <f>IFERROR((s_TR/(up_RadSpec!I9*s_EF_ow*s_ED_out*s_IRS_ow*(1/1000)))*1,".")</f>
        <v>7.272727272727274E-8</v>
      </c>
      <c r="E9" s="22">
        <f>IFERROR(IF(A9="H-3",(s_TR/(up_RadSpec!G9*s_EF_ow*s_ED_out*(s_ET_ow_o+s_ET_ow_i)*(1/24)*s_IRA_ow*(1/17)*1000))*1,(s_TR/(up_RadSpec!G9*s_EF_ow*s_ED_out*(s_ET_ow_o+s_ET_ow_i)*(1/24)*s_IRA_ow*(1/s_PEF_wind)*1000))*1),".")</f>
        <v>9.0250320889537203E-5</v>
      </c>
      <c r="F9" s="22">
        <f>IFERROR((s_TR/(up_RadSpec!F9*s_EF_ow*(1/365)*s_ED_out*up_RadSpec!Q9*(s_ET_ow_o+s_ET_ow_i)*(1/24)*up_RadSpec!V9))*1,".")</f>
        <v>2.600218130493359E-5</v>
      </c>
      <c r="G9" s="22">
        <f t="shared" si="0"/>
        <v>7.2466190981221994E-8</v>
      </c>
      <c r="H9" s="43">
        <f t="shared" si="1"/>
        <v>137.5</v>
      </c>
      <c r="I9" s="43">
        <f t="shared" si="2"/>
        <v>0.11080293013295324</v>
      </c>
      <c r="J9" s="43">
        <f>s_C*s_EF_ow*(1/365)*s_ED_out*(s_ET_ow_o+s_ET_ow_i)*(1/24)*up_RadSpec!V9*up_RadSpec!Q9*1</f>
        <v>0.38458311949784862</v>
      </c>
      <c r="K9" s="4"/>
      <c r="L9" s="4"/>
      <c r="M9" s="4"/>
      <c r="N9" s="4"/>
      <c r="O9" s="22">
        <f>IFERROR((s_TR/(up_RadSpec!F9*s_EF_ow*(1/365)*s_ED_out*up_RadSpec!Q9*(s_ET_ow_o+s_ET_ow_i)*(1/24)*up_RadSpec!V9))*1,".")</f>
        <v>2.600218130493359E-5</v>
      </c>
      <c r="P9" s="22">
        <f>IFERROR((s_TR/(up_RadSpec!M9*s_EF_ow*(1/365)*s_ED_out*up_RadSpec!R9*(s_ET_ow_o+s_ET_ow_i)*(1/24)*up_RadSpec!W9))*1,".")</f>
        <v>5.3256818181818208E-5</v>
      </c>
      <c r="Q9" s="22">
        <f>IFERROR((s_TR/(up_RadSpec!N9*s_EF_ow*(1/365)*s_ED_out*up_RadSpec!S9*(s_ET_ow_o+s_ET_ow_i)*(1/24)*up_RadSpec!X9))*1,".")</f>
        <v>3.7472539423599806E-5</v>
      </c>
      <c r="R9" s="22">
        <f>IFERROR((s_TR/(up_RadSpec!O9*s_EF_ow*(1/365)*s_ED_out*up_RadSpec!T9*(s_ET_ow_o+s_ET_ow_i)*(1/24)*up_RadSpec!Y9))*1,".")</f>
        <v>3.0889256198347112E-5</v>
      </c>
      <c r="S9" s="22">
        <f>IFERROR((s_TR/(up_RadSpec!K9*s_EF_ow*(1/365)*s_ED_out*up_RadSpec!P9*(s_ET_ow_o+s_ET_ow_i)*(1/24)*up_RadSpec!U9))*1,".")</f>
        <v>9.4332709543977193E-5</v>
      </c>
      <c r="T9" s="43">
        <f>s_C*s_EF_ow*(1/365)*s_ED_out*(s_ET_ow_o+s_ET_ow_i)*(1/24)*up_RadSpec!V9*up_RadSpec!Q9*1</f>
        <v>0.38458311949784862</v>
      </c>
      <c r="U9" s="43">
        <f>s_C*s_EF_ow*(1/365)*s_ED_out*(s_ET_ow_o+s_ET_ow_i)*(1/24)*up_RadSpec!W9*up_RadSpec!R9*1</f>
        <v>0.18776938505526386</v>
      </c>
      <c r="V9" s="43">
        <f>s_C*s_EF_ow*(1/365)*s_ED_out*(s_ET_ow_o+s_ET_ow_i)*(1/24)*up_RadSpec!X9*up_RadSpec!S9*1</f>
        <v>0.26686208497794273</v>
      </c>
      <c r="W9" s="43">
        <f>s_C*s_EF_ow*(1/365)*s_ED_out*(s_ET_ow_o+s_ET_ow_i)*(1/24)*up_RadSpec!Y9*up_RadSpec!T9*1</f>
        <v>0.32373715753424659</v>
      </c>
      <c r="X9" s="43">
        <f>s_C*s_EF_ow*(1/365)*s_ED_out*(s_ET_ow_o+s_ET_ow_i)*(1/24)*up_RadSpec!U9*up_RadSpec!P9*1</f>
        <v>0.10600776812562643</v>
      </c>
      <c r="Y9" s="11"/>
      <c r="Z9" s="11"/>
      <c r="AA9" s="11"/>
      <c r="AB9" s="11"/>
      <c r="AC9" s="11"/>
      <c r="AD9" s="22">
        <f>IFERROR(s_TR/(up_RadSpec!G9*s_EF_ow*s_ED_out*(s_ET_ow_o+s_ET_ow_i)*(1/24)*s_IRA_ow),".")</f>
        <v>2.9090909090909094E-10</v>
      </c>
      <c r="AE9" s="22">
        <f>IFERROR(s_TR/(up_RadSpec!J9*s_EF_ow*(1/365)*s_ED_out*(s_ET_ow_o+s_ET_ow_i)*(1/24)*s_GSF_a),".")</f>
        <v>6.3709090909090908E-6</v>
      </c>
      <c r="AF9" s="22">
        <f t="shared" si="6"/>
        <v>2.9089580799548386E-10</v>
      </c>
      <c r="AG9" s="43">
        <f t="shared" si="4"/>
        <v>34375</v>
      </c>
      <c r="AH9" s="43">
        <f t="shared" si="5"/>
        <v>1.5696347031963471</v>
      </c>
      <c r="AI9" s="10"/>
      <c r="AJ9" s="10"/>
      <c r="AK9" s="10"/>
    </row>
    <row r="10" spans="1:37" x14ac:dyDescent="0.25">
      <c r="A10" s="25" t="s">
        <v>20</v>
      </c>
      <c r="B10" s="24" t="s">
        <v>275</v>
      </c>
      <c r="C10" s="2"/>
      <c r="D10" s="22">
        <f>IFERROR((s_TR/(up_RadSpec!I10*s_EF_ow*s_ED_out*s_IRS_ow*(1/1000)))*1,".")</f>
        <v>7.272727272727274E-8</v>
      </c>
      <c r="E10" s="22">
        <f>IFERROR(IF(A10="H-3",(s_TR/(up_RadSpec!G10*s_EF_ow*s_ED_out*(s_ET_ow_o+s_ET_ow_i)*(1/24)*s_IRA_ow*(1/17)*1000))*1,(s_TR/(up_RadSpec!G10*s_EF_ow*s_ED_out*(s_ET_ow_o+s_ET_ow_i)*(1/24)*s_IRA_ow*(1/s_PEF_wind)*1000))*1),".")</f>
        <v>9.0250320889537203E-5</v>
      </c>
      <c r="F10" s="22">
        <f>IFERROR((s_TR/(up_RadSpec!F10*s_EF_ow*(1/365)*s_ED_out*up_RadSpec!Q10*(s_ET_ow_o+s_ET_ow_i)*(1/24)*up_RadSpec!V10))*1,".")</f>
        <v>4.9753766233766238E-5</v>
      </c>
      <c r="G10" s="22">
        <f t="shared" si="0"/>
        <v>7.2562730672032604E-8</v>
      </c>
      <c r="H10" s="43">
        <f t="shared" si="1"/>
        <v>137.5</v>
      </c>
      <c r="I10" s="43">
        <f t="shared" si="2"/>
        <v>0.11080293013295324</v>
      </c>
      <c r="J10" s="43">
        <f>s_C*s_EF_ow*(1/365)*s_ED_out*(s_ET_ow_o+s_ET_ow_i)*(1/24)*up_RadSpec!V10*up_RadSpec!Q10*1</f>
        <v>0.20098980955562981</v>
      </c>
      <c r="K10" s="4"/>
      <c r="L10" s="4"/>
      <c r="M10" s="4"/>
      <c r="N10" s="4"/>
      <c r="O10" s="22">
        <f>IFERROR((s_TR/(up_RadSpec!F10*s_EF_ow*(1/365)*s_ED_out*up_RadSpec!Q10*(s_ET_ow_o+s_ET_ow_i)*(1/24)*up_RadSpec!V10))*1,".")</f>
        <v>4.9753766233766238E-5</v>
      </c>
      <c r="P10" s="22">
        <f>IFERROR((s_TR/(up_RadSpec!M10*s_EF_ow*(1/365)*s_ED_out*up_RadSpec!R10*(s_ET_ow_o+s_ET_ow_i)*(1/24)*up_RadSpec!W10))*1,".")</f>
        <v>7.7529581529581511E-5</v>
      </c>
      <c r="Q10" s="22">
        <f>IFERROR((s_TR/(up_RadSpec!N10*s_EF_ow*(1/365)*s_ED_out*up_RadSpec!S10*(s_ET_ow_o+s_ET_ow_i)*(1/24)*up_RadSpec!X10))*1,".")</f>
        <v>5.5366265416759952E-5</v>
      </c>
      <c r="R10" s="22">
        <f>IFERROR((s_TR/(up_RadSpec!O10*s_EF_ow*(1/365)*s_ED_out*up_RadSpec!T10*(s_ET_ow_o+s_ET_ow_i)*(1/24)*up_RadSpec!Y10))*1,".")</f>
        <v>5.0638919313618115E-5</v>
      </c>
      <c r="S10" s="22">
        <f>IFERROR((s_TR/(up_RadSpec!K10*s_EF_ow*(1/365)*s_ED_out*up_RadSpec!P10*(s_ET_ow_o+s_ET_ow_i)*(1/24)*up_RadSpec!U10))*1,".")</f>
        <v>1.3033370352742084E-4</v>
      </c>
      <c r="T10" s="43">
        <f>s_C*s_EF_ow*(1/365)*s_ED_out*(s_ET_ow_o+s_ET_ow_i)*(1/24)*up_RadSpec!V10*up_RadSpec!Q10*1</f>
        <v>0.20098980955562981</v>
      </c>
      <c r="U10" s="43">
        <f>s_C*s_EF_ow*(1/365)*s_ED_out*(s_ET_ow_o+s_ET_ow_i)*(1/24)*up_RadSpec!W10*up_RadSpec!R10*1</f>
        <v>0.1289830256104825</v>
      </c>
      <c r="V10" s="43">
        <f>s_C*s_EF_ow*(1/365)*s_ED_out*(s_ET_ow_o+s_ET_ow_i)*(1/24)*up_RadSpec!X10*up_RadSpec!S10*1</f>
        <v>0.18061539684366895</v>
      </c>
      <c r="W10" s="43">
        <f>s_C*s_EF_ow*(1/365)*s_ED_out*(s_ET_ow_o+s_ET_ow_i)*(1/24)*up_RadSpec!Y10*up_RadSpec!T10*1</f>
        <v>0.19747656813266046</v>
      </c>
      <c r="X10" s="43">
        <f>s_C*s_EF_ow*(1/365)*s_ED_out*(s_ET_ow_o+s_ET_ow_i)*(1/24)*up_RadSpec!U10*up_RadSpec!P10*1</f>
        <v>7.6726124780886834E-2</v>
      </c>
      <c r="Y10" s="11"/>
      <c r="Z10" s="11"/>
      <c r="AA10" s="11"/>
      <c r="AB10" s="11"/>
      <c r="AC10" s="11"/>
      <c r="AD10" s="22">
        <f>IFERROR(s_TR/(up_RadSpec!G10*s_EF_ow*s_ED_out*(s_ET_ow_o+s_ET_ow_i)*(1/24)*s_IRA_ow),".")</f>
        <v>2.9090909090909094E-10</v>
      </c>
      <c r="AE10" s="22">
        <f>IFERROR(s_TR/(up_RadSpec!J10*s_EF_ow*(1/365)*s_ED_out*(s_ET_ow_o+s_ET_ow_i)*(1/24)*s_GSF_a),".")</f>
        <v>6.3709090909090908E-6</v>
      </c>
      <c r="AF10" s="22">
        <f t="shared" si="6"/>
        <v>2.9089580799548386E-10</v>
      </c>
      <c r="AG10" s="43">
        <f t="shared" si="4"/>
        <v>34375</v>
      </c>
      <c r="AH10" s="43">
        <f t="shared" si="5"/>
        <v>1.5696347031963471</v>
      </c>
      <c r="AI10" s="10"/>
      <c r="AJ10" s="10"/>
      <c r="AK10" s="10"/>
    </row>
    <row r="11" spans="1:37" x14ac:dyDescent="0.25">
      <c r="A11" s="23" t="s">
        <v>21</v>
      </c>
      <c r="B11" s="24" t="s">
        <v>289</v>
      </c>
      <c r="C11" s="2"/>
      <c r="D11" s="22">
        <f>IFERROR((s_TR/(up_RadSpec!I11*s_EF_ow*s_ED_out*s_IRS_ow*(1/1000)))*1,".")</f>
        <v>7.272727272727274E-8</v>
      </c>
      <c r="E11" s="22">
        <f>IFERROR(IF(A11="H-3",(s_TR/(up_RadSpec!G11*s_EF_ow*s_ED_out*(s_ET_ow_o+s_ET_ow_i)*(1/24)*s_IRA_ow*(1/17)*1000))*1,(s_TR/(up_RadSpec!G11*s_EF_ow*s_ED_out*(s_ET_ow_o+s_ET_ow_i)*(1/24)*s_IRA_ow*(1/s_PEF_wind)*1000))*1),".")</f>
        <v>9.0250320889537203E-5</v>
      </c>
      <c r="F11" s="22">
        <f>IFERROR((s_TR/(up_RadSpec!F11*s_EF_ow*(1/365)*s_ED_out*up_RadSpec!Q11*(s_ET_ow_o+s_ET_ow_i)*(1/24)*up_RadSpec!V11))*1,".")</f>
        <v>1.4877122877122876E-4</v>
      </c>
      <c r="G11" s="22">
        <f t="shared" si="0"/>
        <v>7.2633235017752465E-8</v>
      </c>
      <c r="H11" s="43">
        <f t="shared" si="1"/>
        <v>137.5</v>
      </c>
      <c r="I11" s="43">
        <f t="shared" si="2"/>
        <v>0.11080293013295324</v>
      </c>
      <c r="J11" s="43">
        <f>s_C*s_EF_ow*(1/365)*s_ED_out*(s_ET_ow_o+s_ET_ow_i)*(1/24)*up_RadSpec!V11*up_RadSpec!Q11*1</f>
        <v>6.7217297878055346E-2</v>
      </c>
      <c r="K11" s="4"/>
      <c r="L11" s="4"/>
      <c r="M11" s="4"/>
      <c r="N11" s="4"/>
      <c r="O11" s="22">
        <f>IFERROR((s_TR/(up_RadSpec!F11*s_EF_ow*(1/365)*s_ED_out*up_RadSpec!Q11*(s_ET_ow_o+s_ET_ow_i)*(1/24)*up_RadSpec!V11))*1,".")</f>
        <v>1.4877122877122876E-4</v>
      </c>
      <c r="P11" s="22">
        <f>IFERROR((s_TR/(up_RadSpec!M11*s_EF_ow*(1/365)*s_ED_out*up_RadSpec!R11*(s_ET_ow_o+s_ET_ow_i)*(1/24)*up_RadSpec!W11))*1,".")</f>
        <v>1.8824477461596578E-4</v>
      </c>
      <c r="Q11" s="22">
        <f>IFERROR((s_TR/(up_RadSpec!N11*s_EF_ow*(1/365)*s_ED_out*up_RadSpec!S11*(s_ET_ow_o+s_ET_ow_i)*(1/24)*up_RadSpec!X11))*1,".")</f>
        <v>1.4609548724656639E-4</v>
      </c>
      <c r="R11" s="22">
        <f>IFERROR((s_TR/(up_RadSpec!O11*s_EF_ow*(1/365)*s_ED_out*up_RadSpec!T11*(s_ET_ow_o+s_ET_ow_i)*(1/24)*up_RadSpec!Y11))*1,".")</f>
        <v>1.3916387959866225E-4</v>
      </c>
      <c r="S11" s="22">
        <f>IFERROR((s_TR/(up_RadSpec!K11*s_EF_ow*(1/365)*s_ED_out*up_RadSpec!P11*(s_ET_ow_o+s_ET_ow_i)*(1/24)*up_RadSpec!U11))*1,".")</f>
        <v>3.5044063079777365E-4</v>
      </c>
      <c r="T11" s="43">
        <f>s_C*s_EF_ow*(1/365)*s_ED_out*(s_ET_ow_o+s_ET_ow_i)*(1/24)*up_RadSpec!V11*up_RadSpec!Q11*1</f>
        <v>6.7217297878055346E-2</v>
      </c>
      <c r="U11" s="43">
        <f>s_C*s_EF_ow*(1/365)*s_ED_out*(s_ET_ow_o+s_ET_ow_i)*(1/24)*up_RadSpec!W11*up_RadSpec!R11*1</f>
        <v>5.3122324486301373E-2</v>
      </c>
      <c r="V11" s="43">
        <f>s_C*s_EF_ow*(1/365)*s_ED_out*(s_ET_ow_o+s_ET_ow_i)*(1/24)*up_RadSpec!X11*up_RadSpec!S11*1</f>
        <v>6.8448383919777978E-2</v>
      </c>
      <c r="W11" s="43">
        <f>s_C*s_EF_ow*(1/365)*s_ED_out*(s_ET_ow_o+s_ET_ow_i)*(1/24)*up_RadSpec!Y11*up_RadSpec!T11*1</f>
        <v>7.1857726508050931E-2</v>
      </c>
      <c r="X11" s="43">
        <f>s_C*s_EF_ow*(1/365)*s_ED_out*(s_ET_ow_o+s_ET_ow_i)*(1/24)*up_RadSpec!U11*up_RadSpec!P11*1</f>
        <v>2.8535503937528954E-2</v>
      </c>
      <c r="Y11" s="11"/>
      <c r="Z11" s="11"/>
      <c r="AA11" s="11"/>
      <c r="AB11" s="11"/>
      <c r="AC11" s="11"/>
      <c r="AD11" s="22">
        <f>IFERROR(s_TR/(up_RadSpec!G11*s_EF_ow*s_ED_out*(s_ET_ow_o+s_ET_ow_i)*(1/24)*s_IRA_ow),".")</f>
        <v>2.9090909090909094E-10</v>
      </c>
      <c r="AE11" s="22">
        <f>IFERROR(s_TR/(up_RadSpec!J11*s_EF_ow*(1/365)*s_ED_out*(s_ET_ow_o+s_ET_ow_i)*(1/24)*s_GSF_a),".")</f>
        <v>6.3709090909090908E-6</v>
      </c>
      <c r="AF11" s="22">
        <f t="shared" si="6"/>
        <v>2.9089580799548386E-10</v>
      </c>
      <c r="AG11" s="43">
        <f t="shared" si="4"/>
        <v>34375</v>
      </c>
      <c r="AH11" s="43">
        <f t="shared" si="5"/>
        <v>1.5696347031963471</v>
      </c>
      <c r="AI11" s="10"/>
      <c r="AJ11" s="10"/>
      <c r="AK11" s="10"/>
    </row>
    <row r="12" spans="1:37" x14ac:dyDescent="0.25">
      <c r="A12" s="23" t="s">
        <v>22</v>
      </c>
      <c r="B12" s="24" t="s">
        <v>289</v>
      </c>
      <c r="C12" s="109"/>
      <c r="D12" s="22">
        <f>IFERROR((s_TR/(up_RadSpec!I12*s_EF_ow*s_ED_out*s_IRS_ow*(1/1000)))*1,".")</f>
        <v>7.272727272727274E-8</v>
      </c>
      <c r="E12" s="22">
        <f>IFERROR(IF(A12="H-3",(s_TR/(up_RadSpec!G12*s_EF_ow*s_ED_out*(s_ET_ow_o+s_ET_ow_i)*(1/24)*s_IRA_ow*(1/17)*1000))*1,(s_TR/(up_RadSpec!G12*s_EF_ow*s_ED_out*(s_ET_ow_o+s_ET_ow_i)*(1/24)*s_IRA_ow*(1/s_PEF_wind)*1000))*1),".")</f>
        <v>9.0250320889537203E-5</v>
      </c>
      <c r="F12" s="22">
        <f>IFERROR((s_TR/(up_RadSpec!F12*s_EF_ow*(1/365)*s_ED_out*up_RadSpec!Q12*(s_ET_ow_o+s_ET_ow_i)*(1/24)*up_RadSpec!V12))*1,".")</f>
        <v>7.1282058319039457E-5</v>
      </c>
      <c r="G12" s="22">
        <f t="shared" si="0"/>
        <v>7.2594706511542707E-8</v>
      </c>
      <c r="H12" s="43">
        <f t="shared" si="1"/>
        <v>137.5</v>
      </c>
      <c r="I12" s="43">
        <f t="shared" si="2"/>
        <v>0.11080293013295324</v>
      </c>
      <c r="J12" s="43">
        <f>s_C*s_EF_ow*(1/365)*s_ED_out*(s_ET_ow_o+s_ET_ow_i)*(1/24)*up_RadSpec!V12*up_RadSpec!Q12*1</f>
        <v>0.14028775593491805</v>
      </c>
      <c r="K12" s="4"/>
      <c r="L12" s="4"/>
      <c r="M12" s="4"/>
      <c r="N12" s="4"/>
      <c r="O12" s="22">
        <f>IFERROR((s_TR/(up_RadSpec!F12*s_EF_ow*(1/365)*s_ED_out*up_RadSpec!Q12*(s_ET_ow_o+s_ET_ow_i)*(1/24)*up_RadSpec!V12))*1,".")</f>
        <v>7.1282058319039457E-5</v>
      </c>
      <c r="P12" s="22">
        <f>IFERROR((s_TR/(up_RadSpec!M12*s_EF_ow*(1/365)*s_ED_out*up_RadSpec!R12*(s_ET_ow_o+s_ET_ow_i)*(1/24)*up_RadSpec!W12))*1,".")</f>
        <v>1.2788458442018489E-4</v>
      </c>
      <c r="Q12" s="22">
        <f>IFERROR((s_TR/(up_RadSpec!N12*s_EF_ow*(1/365)*s_ED_out*up_RadSpec!S12*(s_ET_ow_o+s_ET_ow_i)*(1/24)*up_RadSpec!X12))*1,".")</f>
        <v>9.2727530906164851E-5</v>
      </c>
      <c r="R12" s="22">
        <f>IFERROR((s_TR/(up_RadSpec!O12*s_EF_ow*(1/365)*s_ED_out*up_RadSpec!T12*(s_ET_ow_o+s_ET_ow_i)*(1/24)*up_RadSpec!Y12))*1,".")</f>
        <v>8.1891342636499108E-5</v>
      </c>
      <c r="S12" s="22">
        <f>IFERROR((s_TR/(up_RadSpec!K12*s_EF_ow*(1/365)*s_ED_out*up_RadSpec!P12*(s_ET_ow_o+s_ET_ow_i)*(1/24)*up_RadSpec!U12))*1,".")</f>
        <v>2.207606679035251E-4</v>
      </c>
      <c r="T12" s="43">
        <f>s_C*s_EF_ow*(1/365)*s_ED_out*(s_ET_ow_o+s_ET_ow_i)*(1/24)*up_RadSpec!V12*up_RadSpec!Q12*1</f>
        <v>0.14028775593491805</v>
      </c>
      <c r="U12" s="43">
        <f>s_C*s_EF_ow*(1/365)*s_ED_out*(s_ET_ow_o+s_ET_ow_i)*(1/24)*up_RadSpec!W12*up_RadSpec!R12*1</f>
        <v>7.8195507655116833E-2</v>
      </c>
      <c r="V12" s="43">
        <f>s_C*s_EF_ow*(1/365)*s_ED_out*(s_ET_ow_o+s_ET_ow_i)*(1/24)*up_RadSpec!X12*up_RadSpec!S12*1</f>
        <v>0.10784283699001379</v>
      </c>
      <c r="W12" s="43">
        <f>s_C*s_EF_ow*(1/365)*s_ED_out*(s_ET_ow_o+s_ET_ow_i)*(1/24)*up_RadSpec!Y12*up_RadSpec!T12*1</f>
        <v>0.12211303024286947</v>
      </c>
      <c r="X12" s="43">
        <f>s_C*s_EF_ow*(1/365)*s_ED_out*(s_ET_ow_o+s_ET_ow_i)*(1/24)*up_RadSpec!U12*up_RadSpec!P12*1</f>
        <v>4.5297924195310535E-2</v>
      </c>
      <c r="Y12" s="11"/>
      <c r="Z12" s="11"/>
      <c r="AA12" s="11"/>
      <c r="AB12" s="11"/>
      <c r="AC12" s="11"/>
      <c r="AD12" s="22">
        <f>IFERROR(s_TR/(up_RadSpec!G12*s_EF_ow*s_ED_out*(s_ET_ow_o+s_ET_ow_i)*(1/24)*s_IRA_ow),".")</f>
        <v>2.9090909090909094E-10</v>
      </c>
      <c r="AE12" s="22">
        <f>IFERROR(s_TR/(up_RadSpec!J12*s_EF_ow*(1/365)*s_ED_out*(s_ET_ow_o+s_ET_ow_i)*(1/24)*s_GSF_a),".")</f>
        <v>6.3709090909090908E-6</v>
      </c>
      <c r="AF12" s="22">
        <f t="shared" si="6"/>
        <v>2.9089580799548386E-10</v>
      </c>
      <c r="AG12" s="43">
        <f t="shared" si="4"/>
        <v>34375</v>
      </c>
      <c r="AH12" s="43">
        <f t="shared" si="5"/>
        <v>1.5696347031963471</v>
      </c>
      <c r="AI12" s="10"/>
      <c r="AJ12" s="10"/>
      <c r="AK12" s="10"/>
    </row>
    <row r="13" spans="1:37" x14ac:dyDescent="0.25">
      <c r="A13" s="23" t="s">
        <v>23</v>
      </c>
      <c r="B13" s="24" t="s">
        <v>289</v>
      </c>
      <c r="C13" s="2"/>
      <c r="D13" s="22">
        <f>IFERROR((s_TR/(up_RadSpec!I13*s_EF_ow*s_ED_out*s_IRS_ow*(1/1000)))*1,".")</f>
        <v>7.272727272727274E-8</v>
      </c>
      <c r="E13" s="22">
        <f>IFERROR(IF(A13="H-3",(s_TR/(up_RadSpec!G13*s_EF_ow*s_ED_out*(s_ET_ow_o+s_ET_ow_i)*(1/24)*s_IRA_ow*(1/17)*1000))*1,(s_TR/(up_RadSpec!G13*s_EF_ow*s_ED_out*(s_ET_ow_o+s_ET_ow_i)*(1/24)*s_IRA_ow*(1/s_PEF_wind)*1000))*1),".")</f>
        <v>9.0250320889537203E-5</v>
      </c>
      <c r="F13" s="22">
        <f>IFERROR((s_TR/(up_RadSpec!F13*s_EF_ow*(1/365)*s_ED_out*up_RadSpec!Q13*(s_ET_ow_o+s_ET_ow_i)*(1/24)*up_RadSpec!V13))*1,".")</f>
        <v>5.4790618044855369E-4</v>
      </c>
      <c r="G13" s="22">
        <f t="shared" si="0"/>
        <v>7.2659076645896279E-8</v>
      </c>
      <c r="H13" s="43">
        <f t="shared" si="1"/>
        <v>137.5</v>
      </c>
      <c r="I13" s="43">
        <f t="shared" si="2"/>
        <v>0.11080293013295324</v>
      </c>
      <c r="J13" s="43">
        <f>s_C*s_EF_ow*(1/365)*s_ED_out*(s_ET_ow_o+s_ET_ow_i)*(1/24)*up_RadSpec!V13*up_RadSpec!Q13*1</f>
        <v>1.8251299870012987E-2</v>
      </c>
      <c r="K13" s="4"/>
      <c r="L13" s="4"/>
      <c r="M13" s="4"/>
      <c r="N13" s="4"/>
      <c r="O13" s="22">
        <f>IFERROR((s_TR/(up_RadSpec!F13*s_EF_ow*(1/365)*s_ED_out*up_RadSpec!Q13*(s_ET_ow_o+s_ET_ow_i)*(1/24)*up_RadSpec!V13))*1,".")</f>
        <v>5.4790618044855369E-4</v>
      </c>
      <c r="P13" s="22">
        <f>IFERROR((s_TR/(up_RadSpec!M13*s_EF_ow*(1/365)*s_ED_out*up_RadSpec!R13*(s_ET_ow_o+s_ET_ow_i)*(1/24)*up_RadSpec!W13))*1,".")</f>
        <v>1.1948632373213381E-3</v>
      </c>
      <c r="Q13" s="22">
        <f>IFERROR((s_TR/(up_RadSpec!N13*s_EF_ow*(1/365)*s_ED_out*up_RadSpec!S13*(s_ET_ow_o+s_ET_ow_i)*(1/24)*up_RadSpec!X13))*1,".")</f>
        <v>7.0985979194934407E-4</v>
      </c>
      <c r="R13" s="22">
        <f>IFERROR((s_TR/(up_RadSpec!O13*s_EF_ow*(1/365)*s_ED_out*up_RadSpec!T13*(s_ET_ow_o+s_ET_ow_i)*(1/24)*up_RadSpec!Y13))*1,".")</f>
        <v>5.8600282168498098E-4</v>
      </c>
      <c r="S13" s="22">
        <f>IFERROR((s_TR/(up_RadSpec!K13*s_EF_ow*(1/365)*s_ED_out*up_RadSpec!P13*(s_ET_ow_o+s_ET_ow_i)*(1/24)*up_RadSpec!U13))*1,".")</f>
        <v>1.1495129870129867E-2</v>
      </c>
      <c r="T13" s="43">
        <f>s_C*s_EF_ow*(1/365)*s_ED_out*(s_ET_ow_o+s_ET_ow_i)*(1/24)*up_RadSpec!V13*up_RadSpec!Q13*1</f>
        <v>1.8251299870012987E-2</v>
      </c>
      <c r="U13" s="43">
        <f>s_C*s_EF_ow*(1/365)*s_ED_out*(s_ET_ow_o+s_ET_ow_i)*(1/24)*up_RadSpec!W13*up_RadSpec!R13*1</f>
        <v>8.3691586515107358E-3</v>
      </c>
      <c r="V13" s="43">
        <f>s_C*s_EF_ow*(1/365)*s_ED_out*(s_ET_ow_o+s_ET_ow_i)*(1/24)*up_RadSpec!X13*up_RadSpec!S13*1</f>
        <v>1.4087288945524058E-2</v>
      </c>
      <c r="W13" s="43">
        <f>s_C*s_EF_ow*(1/365)*s_ED_out*(s_ET_ow_o+s_ET_ow_i)*(1/24)*up_RadSpec!Y13*up_RadSpec!T13*1</f>
        <v>1.7064764246776495E-2</v>
      </c>
      <c r="X13" s="43">
        <f>s_C*s_EF_ow*(1/365)*s_ED_out*(s_ET_ow_o+s_ET_ow_i)*(1/24)*up_RadSpec!U13*up_RadSpec!P13*1</f>
        <v>8.6993362519418205E-4</v>
      </c>
      <c r="Y13" s="11"/>
      <c r="Z13" s="11"/>
      <c r="AA13" s="11"/>
      <c r="AB13" s="11"/>
      <c r="AC13" s="11"/>
      <c r="AD13" s="22">
        <f>IFERROR(s_TR/(up_RadSpec!G13*s_EF_ow*s_ED_out*(s_ET_ow_o+s_ET_ow_i)*(1/24)*s_IRA_ow),".")</f>
        <v>2.9090909090909094E-10</v>
      </c>
      <c r="AE13" s="22">
        <f>IFERROR(s_TR/(up_RadSpec!J13*s_EF_ow*(1/365)*s_ED_out*(s_ET_ow_o+s_ET_ow_i)*(1/24)*s_GSF_a),".")</f>
        <v>6.3709090909090908E-6</v>
      </c>
      <c r="AF13" s="22">
        <f t="shared" si="6"/>
        <v>2.9089580799548386E-10</v>
      </c>
      <c r="AG13" s="43">
        <f t="shared" si="4"/>
        <v>34375</v>
      </c>
      <c r="AH13" s="43">
        <f t="shared" si="5"/>
        <v>1.5696347031963471</v>
      </c>
      <c r="AI13" s="10"/>
      <c r="AJ13" s="10"/>
      <c r="AK13" s="10"/>
    </row>
    <row r="14" spans="1:37" x14ac:dyDescent="0.25">
      <c r="A14" s="23" t="s">
        <v>24</v>
      </c>
      <c r="B14" s="24" t="s">
        <v>289</v>
      </c>
      <c r="C14" s="2"/>
      <c r="D14" s="22">
        <f>IFERROR((s_TR/(up_RadSpec!I14*s_EF_ow*s_ED_out*s_IRS_ow*(1/1000)))*1,".")</f>
        <v>7.272727272727274E-8</v>
      </c>
      <c r="E14" s="22">
        <f>IFERROR(IF(A14="H-3",(s_TR/(up_RadSpec!G14*s_EF_ow*s_ED_out*(s_ET_ow_o+s_ET_ow_i)*(1/24)*s_IRA_ow*(1/17)*1000))*1,(s_TR/(up_RadSpec!G14*s_EF_ow*s_ED_out*(s_ET_ow_o+s_ET_ow_i)*(1/24)*s_IRA_ow*(1/s_PEF_wind)*1000))*1),".")</f>
        <v>9.0250320889537203E-5</v>
      </c>
      <c r="F14" s="22">
        <f>IFERROR((s_TR/(up_RadSpec!F14*s_EF_ow*(1/365)*s_ED_out*up_RadSpec!Q14*(s_ET_ow_o+s_ET_ow_i)*(1/24)*up_RadSpec!V14))*1,".")</f>
        <v>8.2250179434746663E-5</v>
      </c>
      <c r="G14" s="22">
        <f t="shared" si="0"/>
        <v>7.2604566673381434E-8</v>
      </c>
      <c r="H14" s="43">
        <f t="shared" si="1"/>
        <v>137.5</v>
      </c>
      <c r="I14" s="43">
        <f t="shared" si="2"/>
        <v>0.11080293013295324</v>
      </c>
      <c r="J14" s="43">
        <f>s_C*s_EF_ow*(1/365)*s_ED_out*(s_ET_ow_o+s_ET_ow_i)*(1/24)*up_RadSpec!V14*up_RadSpec!Q14*1</f>
        <v>0.12158028187565867</v>
      </c>
      <c r="K14" s="4"/>
      <c r="L14" s="4"/>
      <c r="M14" s="4"/>
      <c r="N14" s="4"/>
      <c r="O14" s="22">
        <f>IFERROR((s_TR/(up_RadSpec!F14*s_EF_ow*(1/365)*s_ED_out*up_RadSpec!Q14*(s_ET_ow_o+s_ET_ow_i)*(1/24)*up_RadSpec!V14))*1,".")</f>
        <v>8.2250179434746663E-5</v>
      </c>
      <c r="P14" s="22">
        <f>IFERROR((s_TR/(up_RadSpec!M14*s_EF_ow*(1/365)*s_ED_out*up_RadSpec!R14*(s_ET_ow_o+s_ET_ow_i)*(1/24)*up_RadSpec!W14))*1,".")</f>
        <v>1.4937483186060481E-4</v>
      </c>
      <c r="Q14" s="22">
        <f>IFERROR((s_TR/(up_RadSpec!N14*s_EF_ow*(1/365)*s_ED_out*up_RadSpec!S14*(s_ET_ow_o+s_ET_ow_i)*(1/24)*up_RadSpec!X14))*1,".")</f>
        <v>1.1043933455751371E-4</v>
      </c>
      <c r="R14" s="22">
        <f>IFERROR((s_TR/(up_RadSpec!O14*s_EF_ow*(1/365)*s_ED_out*up_RadSpec!T14*(s_ET_ow_o+s_ET_ow_i)*(1/24)*up_RadSpec!Y14))*1,".")</f>
        <v>9.6777614763226299E-5</v>
      </c>
      <c r="S14" s="22">
        <f>IFERROR((s_TR/(up_RadSpec!K14*s_EF_ow*(1/365)*s_ED_out*up_RadSpec!P14*(s_ET_ow_o+s_ET_ow_i)*(1/24)*up_RadSpec!U14))*1,".")</f>
        <v>4.1679600886917979E-4</v>
      </c>
      <c r="T14" s="43">
        <f>s_C*s_EF_ow*(1/365)*s_ED_out*(s_ET_ow_o+s_ET_ow_i)*(1/24)*up_RadSpec!V14*up_RadSpec!Q14*1</f>
        <v>0.12158028187565867</v>
      </c>
      <c r="U14" s="43">
        <f>s_C*s_EF_ow*(1/365)*s_ED_out*(s_ET_ow_o+s_ET_ow_i)*(1/24)*up_RadSpec!W14*up_RadSpec!R14*1</f>
        <v>6.6945682049917951E-2</v>
      </c>
      <c r="V14" s="43">
        <f>s_C*s_EF_ow*(1/365)*s_ED_out*(s_ET_ow_o+s_ET_ow_i)*(1/24)*up_RadSpec!X14*up_RadSpec!S14*1</f>
        <v>9.0547448878300518E-2</v>
      </c>
      <c r="W14" s="43">
        <f>s_C*s_EF_ow*(1/365)*s_ED_out*(s_ET_ow_o+s_ET_ow_i)*(1/24)*up_RadSpec!Y14*up_RadSpec!T14*1</f>
        <v>0.1033296803652968</v>
      </c>
      <c r="X14" s="43">
        <f>s_C*s_EF_ow*(1/365)*s_ED_out*(s_ET_ow_o+s_ET_ow_i)*(1/24)*up_RadSpec!U14*up_RadSpec!P14*1</f>
        <v>2.3992552201090568E-2</v>
      </c>
      <c r="Y14" s="11"/>
      <c r="Z14" s="11"/>
      <c r="AA14" s="11"/>
      <c r="AB14" s="11"/>
      <c r="AC14" s="11"/>
      <c r="AD14" s="22">
        <f>IFERROR(s_TR/(up_RadSpec!G14*s_EF_ow*s_ED_out*(s_ET_ow_o+s_ET_ow_i)*(1/24)*s_IRA_ow),".")</f>
        <v>2.9090909090909094E-10</v>
      </c>
      <c r="AE14" s="22">
        <f>IFERROR(s_TR/(up_RadSpec!J14*s_EF_ow*(1/365)*s_ED_out*(s_ET_ow_o+s_ET_ow_i)*(1/24)*s_GSF_a),".")</f>
        <v>6.3709090909090908E-6</v>
      </c>
      <c r="AF14" s="22">
        <f t="shared" si="6"/>
        <v>2.9089580799548386E-10</v>
      </c>
      <c r="AG14" s="43">
        <f t="shared" si="4"/>
        <v>34375</v>
      </c>
      <c r="AH14" s="43">
        <f t="shared" si="5"/>
        <v>1.5696347031963471</v>
      </c>
      <c r="AI14" s="10"/>
      <c r="AJ14" s="10"/>
      <c r="AK14" s="10"/>
    </row>
    <row r="15" spans="1:37" x14ac:dyDescent="0.25">
      <c r="A15" s="23" t="s">
        <v>25</v>
      </c>
      <c r="B15" s="24" t="s">
        <v>289</v>
      </c>
      <c r="C15" s="2"/>
      <c r="D15" s="22">
        <f>IFERROR((s_TR/(up_RadSpec!I15*s_EF_ow*s_ED_out*s_IRS_ow*(1/1000)))*1,".")</f>
        <v>7.272727272727274E-8</v>
      </c>
      <c r="E15" s="22">
        <f>IFERROR(IF(A15="H-3",(s_TR/(up_RadSpec!G15*s_EF_ow*s_ED_out*(s_ET_ow_o+s_ET_ow_i)*(1/24)*s_IRA_ow*(1/17)*1000))*1,(s_TR/(up_RadSpec!G15*s_EF_ow*s_ED_out*(s_ET_ow_o+s_ET_ow_i)*(1/24)*s_IRA_ow*(1/s_PEF_wind)*1000))*1),".")</f>
        <v>9.0250320889537203E-5</v>
      </c>
      <c r="F15" s="22" t="str">
        <f>IFERROR((s_TR/(up_RadSpec!F15*s_EF_ow*(1/365)*s_ED_out*up_RadSpec!Q15*(s_ET_ow_o+s_ET_ow_i)*(1/24)*up_RadSpec!V15))*1,".")</f>
        <v>.</v>
      </c>
      <c r="G15" s="22">
        <f t="shared" si="0"/>
        <v>7.26687134081846E-8</v>
      </c>
      <c r="H15" s="43">
        <f t="shared" si="1"/>
        <v>137.5</v>
      </c>
      <c r="I15" s="43">
        <f t="shared" si="2"/>
        <v>0.11080293013295324</v>
      </c>
      <c r="J15" s="43">
        <f>s_C*s_EF_ow*(1/365)*s_ED_out*(s_ET_ow_o+s_ET_ow_i)*(1/24)*up_RadSpec!V15*up_RadSpec!Q15*1</f>
        <v>0</v>
      </c>
      <c r="K15" s="4"/>
      <c r="L15" s="4"/>
      <c r="M15" s="4"/>
      <c r="N15" s="4"/>
      <c r="O15" s="22" t="str">
        <f>IFERROR((s_TR/(up_RadSpec!F15*s_EF_ow*(1/365)*s_ED_out*up_RadSpec!Q15*(s_ET_ow_o+s_ET_ow_i)*(1/24)*up_RadSpec!V15))*1,".")</f>
        <v>.</v>
      </c>
      <c r="P15" s="22" t="str">
        <f>IFERROR((s_TR/(up_RadSpec!M15*s_EF_ow*(1/365)*s_ED_out*up_RadSpec!R15*(s_ET_ow_o+s_ET_ow_i)*(1/24)*up_RadSpec!W15))*1,".")</f>
        <v>.</v>
      </c>
      <c r="Q15" s="22" t="str">
        <f>IFERROR((s_TR/(up_RadSpec!N15*s_EF_ow*(1/365)*s_ED_out*up_RadSpec!S15*(s_ET_ow_o+s_ET_ow_i)*(1/24)*up_RadSpec!X15))*1,".")</f>
        <v>.</v>
      </c>
      <c r="R15" s="22" t="str">
        <f>IFERROR((s_TR/(up_RadSpec!O15*s_EF_ow*(1/365)*s_ED_out*up_RadSpec!T15*(s_ET_ow_o+s_ET_ow_i)*(1/24)*up_RadSpec!Y15))*1,".")</f>
        <v>.</v>
      </c>
      <c r="S15" s="22" t="str">
        <f>IFERROR((s_TR/(up_RadSpec!K15*s_EF_ow*(1/365)*s_ED_out*up_RadSpec!P15*(s_ET_ow_o+s_ET_ow_i)*(1/24)*up_RadSpec!U15))*1,".")</f>
        <v>.</v>
      </c>
      <c r="T15" s="43">
        <f>s_C*s_EF_ow*(1/365)*s_ED_out*(s_ET_ow_o+s_ET_ow_i)*(1/24)*up_RadSpec!V15*up_RadSpec!Q15*1</f>
        <v>0</v>
      </c>
      <c r="U15" s="43">
        <f>s_C*s_EF_ow*(1/365)*s_ED_out*(s_ET_ow_o+s_ET_ow_i)*(1/24)*up_RadSpec!W15*up_RadSpec!R15*1</f>
        <v>0</v>
      </c>
      <c r="V15" s="43">
        <f>s_C*s_EF_ow*(1/365)*s_ED_out*(s_ET_ow_o+s_ET_ow_i)*(1/24)*up_RadSpec!X15*up_RadSpec!S15*1</f>
        <v>0</v>
      </c>
      <c r="W15" s="43">
        <f>s_C*s_EF_ow*(1/365)*s_ED_out*(s_ET_ow_o+s_ET_ow_i)*(1/24)*up_RadSpec!Y15*up_RadSpec!T15*1</f>
        <v>0</v>
      </c>
      <c r="X15" s="43">
        <f>s_C*s_EF_ow*(1/365)*s_ED_out*(s_ET_ow_o+s_ET_ow_i)*(1/24)*up_RadSpec!U15*up_RadSpec!P15*1</f>
        <v>0</v>
      </c>
      <c r="Y15" s="11"/>
      <c r="Z15" s="11"/>
      <c r="AA15" s="11"/>
      <c r="AB15" s="11"/>
      <c r="AC15" s="11"/>
      <c r="AD15" s="22">
        <f>IFERROR(s_TR/(up_RadSpec!G15*s_EF_ow*s_ED_out*(s_ET_ow_o+s_ET_ow_i)*(1/24)*s_IRA_ow),".")</f>
        <v>2.9090909090909094E-10</v>
      </c>
      <c r="AE15" s="22">
        <f>IFERROR(s_TR/(up_RadSpec!J15*s_EF_ow*(1/365)*s_ED_out*(s_ET_ow_o+s_ET_ow_i)*(1/24)*s_GSF_a),".")</f>
        <v>6.3709090909090908E-6</v>
      </c>
      <c r="AF15" s="22">
        <f t="shared" si="6"/>
        <v>2.9089580799548386E-10</v>
      </c>
      <c r="AG15" s="43">
        <f t="shared" si="4"/>
        <v>34375</v>
      </c>
      <c r="AH15" s="43">
        <f t="shared" si="5"/>
        <v>1.5696347031963471</v>
      </c>
      <c r="AI15" s="10"/>
      <c r="AJ15" s="10"/>
      <c r="AK15" s="10"/>
    </row>
    <row r="16" spans="1:37" x14ac:dyDescent="0.25">
      <c r="A16" s="23" t="s">
        <v>26</v>
      </c>
      <c r="B16" s="24" t="s">
        <v>289</v>
      </c>
      <c r="C16" s="109"/>
      <c r="D16" s="22">
        <f>IFERROR((s_TR/(up_RadSpec!I16*s_EF_ow*s_ED_out*s_IRS_ow*(1/1000)))*1,".")</f>
        <v>7.272727272727274E-8</v>
      </c>
      <c r="E16" s="22">
        <f>IFERROR(IF(A16="H-3",(s_TR/(up_RadSpec!G16*s_EF_ow*s_ED_out*(s_ET_ow_o+s_ET_ow_i)*(1/24)*s_IRA_ow*(1/17)*1000))*1,(s_TR/(up_RadSpec!G16*s_EF_ow*s_ED_out*(s_ET_ow_o+s_ET_ow_i)*(1/24)*s_IRA_ow*(1/s_PEF_wind)*1000))*1),".")</f>
        <v>9.0250320889537203E-5</v>
      </c>
      <c r="F16" s="22">
        <f>IFERROR((s_TR/(up_RadSpec!F16*s_EF_ow*(1/365)*s_ED_out*up_RadSpec!Q16*(s_ET_ow_o+s_ET_ow_i)*(1/24)*up_RadSpec!V16))*1,".")</f>
        <v>0.76494620302510574</v>
      </c>
      <c r="G16" s="22">
        <f t="shared" si="0"/>
        <v>7.26687065047692E-8</v>
      </c>
      <c r="H16" s="43">
        <f t="shared" si="1"/>
        <v>137.5</v>
      </c>
      <c r="I16" s="43">
        <f t="shared" si="2"/>
        <v>0.11080293013295324</v>
      </c>
      <c r="J16" s="43">
        <f>s_C*s_EF_ow*(1/365)*s_ED_out*(s_ET_ow_o+s_ET_ow_i)*(1/24)*up_RadSpec!V16*up_RadSpec!Q16*1</f>
        <v>1.3072814742335285E-5</v>
      </c>
      <c r="K16" s="4"/>
      <c r="L16" s="4"/>
      <c r="M16" s="4"/>
      <c r="N16" s="4"/>
      <c r="O16" s="22">
        <f>IFERROR((s_TR/(up_RadSpec!F16*s_EF_ow*(1/365)*s_ED_out*up_RadSpec!Q16*(s_ET_ow_o+s_ET_ow_i)*(1/24)*up_RadSpec!V16))*1,".")</f>
        <v>0.76494620302510574</v>
      </c>
      <c r="P16" s="22">
        <f>IFERROR((s_TR/(up_RadSpec!M16*s_EF_ow*(1/365)*s_ED_out*up_RadSpec!R16*(s_ET_ow_o+s_ET_ow_i)*(1/24)*up_RadSpec!W16))*1,".")</f>
        <v>1.3623429416112349</v>
      </c>
      <c r="Q16" s="22">
        <f>IFERROR((s_TR/(up_RadSpec!N16*s_EF_ow*(1/365)*s_ED_out*up_RadSpec!S16*(s_ET_ow_o+s_ET_ow_i)*(1/24)*up_RadSpec!X16))*1,".")</f>
        <v>0.81841380561977772</v>
      </c>
      <c r="R16" s="22">
        <f>IFERROR((s_TR/(up_RadSpec!O16*s_EF_ow*(1/365)*s_ED_out*up_RadSpec!T16*(s_ET_ow_o+s_ET_ow_i)*(1/24)*up_RadSpec!Y16))*1,".")</f>
        <v>0.82264249380461774</v>
      </c>
      <c r="S16" s="22">
        <f>IFERROR((s_TR/(up_RadSpec!K16*s_EF_ow*(1/365)*s_ED_out*up_RadSpec!P16*(s_ET_ow_o+s_ET_ow_i)*(1/24)*up_RadSpec!U16))*1,".")</f>
        <v>31.854545454545459</v>
      </c>
      <c r="T16" s="43">
        <f>s_C*s_EF_ow*(1/365)*s_ED_out*(s_ET_ow_o+s_ET_ow_i)*(1/24)*up_RadSpec!V16*up_RadSpec!Q16*1</f>
        <v>1.3072814742335285E-5</v>
      </c>
      <c r="U16" s="43">
        <f>s_C*s_EF_ow*(1/365)*s_ED_out*(s_ET_ow_o+s_ET_ow_i)*(1/24)*up_RadSpec!W16*up_RadSpec!R16*1</f>
        <v>7.3402956734029545E-6</v>
      </c>
      <c r="V16" s="43">
        <f>s_C*s_EF_ow*(1/365)*s_ED_out*(s_ET_ow_o+s_ET_ow_i)*(1/24)*up_RadSpec!X16*up_RadSpec!S16*1</f>
        <v>1.2218757713192641E-5</v>
      </c>
      <c r="W16" s="43">
        <f>s_C*s_EF_ow*(1/365)*s_ED_out*(s_ET_ow_o+s_ET_ow_i)*(1/24)*up_RadSpec!Y16*up_RadSpec!T16*1</f>
        <v>1.2155948756976148E-5</v>
      </c>
      <c r="X16" s="43">
        <f>s_C*s_EF_ow*(1/365)*s_ED_out*(s_ET_ow_o+s_ET_ow_i)*(1/24)*up_RadSpec!U16*up_RadSpec!P16*1</f>
        <v>3.1392694063926939E-7</v>
      </c>
      <c r="Y16" s="11"/>
      <c r="Z16" s="11"/>
      <c r="AA16" s="11"/>
      <c r="AB16" s="11"/>
      <c r="AC16" s="11"/>
      <c r="AD16" s="22">
        <f>IFERROR(s_TR/(up_RadSpec!G16*s_EF_ow*s_ED_out*(s_ET_ow_o+s_ET_ow_i)*(1/24)*s_IRA_ow),".")</f>
        <v>2.9090909090909094E-10</v>
      </c>
      <c r="AE16" s="22">
        <f>IFERROR(s_TR/(up_RadSpec!J16*s_EF_ow*(1/365)*s_ED_out*(s_ET_ow_o+s_ET_ow_i)*(1/24)*s_GSF_a),".")</f>
        <v>6.3709090909090908E-6</v>
      </c>
      <c r="AF16" s="22">
        <f t="shared" si="6"/>
        <v>2.9089580799548386E-10</v>
      </c>
      <c r="AG16" s="43">
        <f t="shared" si="4"/>
        <v>34375</v>
      </c>
      <c r="AH16" s="43">
        <f t="shared" si="5"/>
        <v>1.5696347031963471</v>
      </c>
      <c r="AI16" s="10"/>
      <c r="AJ16" s="10"/>
      <c r="AK16" s="10"/>
    </row>
    <row r="17" spans="1:37" x14ac:dyDescent="0.25">
      <c r="A17" s="23" t="s">
        <v>27</v>
      </c>
      <c r="B17" s="24" t="s">
        <v>289</v>
      </c>
      <c r="C17" s="109"/>
      <c r="D17" s="22">
        <f>IFERROR((s_TR/(up_RadSpec!I17*s_EF_ow*s_ED_out*s_IRS_ow*(1/1000)))*1,".")</f>
        <v>7.272727272727274E-8</v>
      </c>
      <c r="E17" s="22">
        <f>IFERROR(IF(A17="H-3",(s_TR/(up_RadSpec!G17*s_EF_ow*s_ED_out*(s_ET_ow_o+s_ET_ow_i)*(1/24)*s_IRA_ow*(1/17)*1000))*1,(s_TR/(up_RadSpec!G17*s_EF_ow*s_ED_out*(s_ET_ow_o+s_ET_ow_i)*(1/24)*s_IRA_ow*(1/s_PEF_wind)*1000))*1),".")</f>
        <v>9.0250320889537203E-5</v>
      </c>
      <c r="F17" s="22">
        <f>IFERROR((s_TR/(up_RadSpec!F17*s_EF_ow*(1/365)*s_ED_out*up_RadSpec!Q17*(s_ET_ow_o+s_ET_ow_i)*(1/24)*up_RadSpec!V17))*1,".")</f>
        <v>7.032821723730812E-5</v>
      </c>
      <c r="G17" s="22">
        <f t="shared" si="0"/>
        <v>7.2593703813673285E-8</v>
      </c>
      <c r="H17" s="43">
        <f t="shared" si="1"/>
        <v>137.5</v>
      </c>
      <c r="I17" s="43">
        <f t="shared" si="2"/>
        <v>0.11080293013295324</v>
      </c>
      <c r="J17" s="43">
        <f>s_C*s_EF_ow*(1/365)*s_ED_out*(s_ET_ow_o+s_ET_ow_i)*(1/24)*up_RadSpec!V17*up_RadSpec!Q17*1</f>
        <v>0.14219043781896329</v>
      </c>
      <c r="K17" s="4"/>
      <c r="L17" s="4"/>
      <c r="M17" s="4"/>
      <c r="N17" s="4"/>
      <c r="O17" s="22">
        <f>IFERROR((s_TR/(up_RadSpec!F17*s_EF_ow*(1/365)*s_ED_out*up_RadSpec!Q17*(s_ET_ow_o+s_ET_ow_i)*(1/24)*up_RadSpec!V17))*1,".")</f>
        <v>7.032821723730812E-5</v>
      </c>
      <c r="P17" s="22">
        <f>IFERROR((s_TR/(up_RadSpec!M17*s_EF_ow*(1/365)*s_ED_out*up_RadSpec!R17*(s_ET_ow_o+s_ET_ow_i)*(1/24)*up_RadSpec!W17))*1,".")</f>
        <v>1.2291326763688574E-4</v>
      </c>
      <c r="Q17" s="22">
        <f>IFERROR((s_TR/(up_RadSpec!N17*s_EF_ow*(1/365)*s_ED_out*up_RadSpec!S17*(s_ET_ow_o+s_ET_ow_i)*(1/24)*up_RadSpec!X17))*1,".")</f>
        <v>9.2604629075217329E-5</v>
      </c>
      <c r="R17" s="22">
        <f>IFERROR((s_TR/(up_RadSpec!O17*s_EF_ow*(1/365)*s_ED_out*up_RadSpec!T17*(s_ET_ow_o+s_ET_ow_i)*(1/24)*up_RadSpec!Y17))*1,".")</f>
        <v>8.2346950765735754E-5</v>
      </c>
      <c r="S17" s="22">
        <f>IFERROR((s_TR/(up_RadSpec!K17*s_EF_ow*(1/365)*s_ED_out*up_RadSpec!P17*(s_ET_ow_o+s_ET_ow_i)*(1/24)*up_RadSpec!U17))*1,".")</f>
        <v>2.3551854998583974E-4</v>
      </c>
      <c r="T17" s="43">
        <f>s_C*s_EF_ow*(1/365)*s_ED_out*(s_ET_ow_o+s_ET_ow_i)*(1/24)*up_RadSpec!V17*up_RadSpec!Q17*1</f>
        <v>0.14219043781896329</v>
      </c>
      <c r="U17" s="43">
        <f>s_C*s_EF_ow*(1/365)*s_ED_out*(s_ET_ow_o+s_ET_ow_i)*(1/24)*up_RadSpec!W17*up_RadSpec!R17*1</f>
        <v>8.1358182011256233E-2</v>
      </c>
      <c r="V17" s="43">
        <f>s_C*s_EF_ow*(1/365)*s_ED_out*(s_ET_ow_o+s_ET_ow_i)*(1/24)*up_RadSpec!X17*up_RadSpec!S17*1</f>
        <v>0.10798596247146118</v>
      </c>
      <c r="W17" s="43">
        <f>s_C*s_EF_ow*(1/365)*s_ED_out*(s_ET_ow_o+s_ET_ow_i)*(1/24)*up_RadSpec!Y17*up_RadSpec!T17*1</f>
        <v>0.1214374048706241</v>
      </c>
      <c r="X17" s="43">
        <f>s_C*s_EF_ow*(1/365)*s_ED_out*(s_ET_ow_o+s_ET_ow_i)*(1/24)*up_RadSpec!U17*up_RadSpec!P17*1</f>
        <v>4.2459500538710178E-2</v>
      </c>
      <c r="Y17" s="11"/>
      <c r="Z17" s="11"/>
      <c r="AA17" s="11"/>
      <c r="AB17" s="11"/>
      <c r="AC17" s="11"/>
      <c r="AD17" s="22">
        <f>IFERROR(s_TR/(up_RadSpec!G17*s_EF_ow*s_ED_out*(s_ET_ow_o+s_ET_ow_i)*(1/24)*s_IRA_ow),".")</f>
        <v>2.9090909090909094E-10</v>
      </c>
      <c r="AE17" s="22">
        <f>IFERROR(s_TR/(up_RadSpec!J17*s_EF_ow*(1/365)*s_ED_out*(s_ET_ow_o+s_ET_ow_i)*(1/24)*s_GSF_a),".")</f>
        <v>6.3709090909090908E-6</v>
      </c>
      <c r="AF17" s="22">
        <f t="shared" si="6"/>
        <v>2.9089580799548386E-10</v>
      </c>
      <c r="AG17" s="43">
        <f t="shared" si="4"/>
        <v>34375</v>
      </c>
      <c r="AH17" s="43">
        <f t="shared" si="5"/>
        <v>1.5696347031963471</v>
      </c>
      <c r="AI17" s="10"/>
      <c r="AJ17" s="10"/>
      <c r="AK17" s="10"/>
    </row>
    <row r="18" spans="1:37" x14ac:dyDescent="0.25">
      <c r="A18" s="23" t="s">
        <v>28</v>
      </c>
      <c r="B18" s="24" t="s">
        <v>289</v>
      </c>
      <c r="C18" s="109"/>
      <c r="D18" s="22">
        <f>IFERROR((s_TR/(up_RadSpec!I18*s_EF_ow*s_ED_out*s_IRS_ow*(1/1000)))*1,".")</f>
        <v>7.272727272727274E-8</v>
      </c>
      <c r="E18" s="22">
        <f>IFERROR(IF(A18="H-3",(s_TR/(up_RadSpec!G18*s_EF_ow*s_ED_out*(s_ET_ow_o+s_ET_ow_i)*(1/24)*s_IRA_ow*(1/17)*1000))*1,(s_TR/(up_RadSpec!G18*s_EF_ow*s_ED_out*(s_ET_ow_o+s_ET_ow_i)*(1/24)*s_IRA_ow*(1/s_PEF_wind)*1000))*1),".")</f>
        <v>9.0250320889537203E-5</v>
      </c>
      <c r="F18" s="22">
        <f>IFERROR((s_TR/(up_RadSpec!F18*s_EF_ow*(1/365)*s_ED_out*up_RadSpec!Q18*(s_ET_ow_o+s_ET_ow_i)*(1/24)*up_RadSpec!V18))*1,".")</f>
        <v>3.5819104981705617E-5</v>
      </c>
      <c r="G18" s="22">
        <f t="shared" si="0"/>
        <v>7.2521583819291654E-8</v>
      </c>
      <c r="H18" s="43">
        <f t="shared" si="1"/>
        <v>137.5</v>
      </c>
      <c r="I18" s="43">
        <f t="shared" si="2"/>
        <v>0.11080293013295324</v>
      </c>
      <c r="J18" s="43">
        <f>s_C*s_EF_ow*(1/365)*s_ED_out*(s_ET_ow_o+s_ET_ow_i)*(1/24)*up_RadSpec!V18*up_RadSpec!Q18*1</f>
        <v>0.27918062176895375</v>
      </c>
      <c r="K18" s="4"/>
      <c r="L18" s="4"/>
      <c r="M18" s="4"/>
      <c r="N18" s="4"/>
      <c r="O18" s="22">
        <f>IFERROR((s_TR/(up_RadSpec!F18*s_EF_ow*(1/365)*s_ED_out*up_RadSpec!Q18*(s_ET_ow_o+s_ET_ow_i)*(1/24)*up_RadSpec!V18))*1,".")</f>
        <v>3.5819104981705617E-5</v>
      </c>
      <c r="P18" s="22">
        <f>IFERROR((s_TR/(up_RadSpec!M18*s_EF_ow*(1/365)*s_ED_out*up_RadSpec!R18*(s_ET_ow_o+s_ET_ow_i)*(1/24)*up_RadSpec!W18))*1,".")</f>
        <v>7.0875611640484193E-5</v>
      </c>
      <c r="Q18" s="22">
        <f>IFERROR((s_TR/(up_RadSpec!N18*s_EF_ow*(1/365)*s_ED_out*up_RadSpec!S18*(s_ET_ow_o+s_ET_ow_i)*(1/24)*up_RadSpec!X18))*1,".")</f>
        <v>4.9633877043552499E-5</v>
      </c>
      <c r="R18" s="22">
        <f>IFERROR((s_TR/(up_RadSpec!O18*s_EF_ow*(1/365)*s_ED_out*up_RadSpec!T18*(s_ET_ow_o+s_ET_ow_i)*(1/24)*up_RadSpec!Y18))*1,".")</f>
        <v>4.1122563526890526E-5</v>
      </c>
      <c r="S18" s="22">
        <f>IFERROR((s_TR/(up_RadSpec!K18*s_EF_ow*(1/365)*s_ED_out*up_RadSpec!P18*(s_ET_ow_o+s_ET_ow_i)*(1/24)*up_RadSpec!U18))*1,".")</f>
        <v>1.2047552447552447E-4</v>
      </c>
      <c r="T18" s="43">
        <f>s_C*s_EF_ow*(1/365)*s_ED_out*(s_ET_ow_o+s_ET_ow_i)*(1/24)*up_RadSpec!V18*up_RadSpec!Q18*1</f>
        <v>0.27918062176895375</v>
      </c>
      <c r="U18" s="43">
        <f>s_C*s_EF_ow*(1/365)*s_ED_out*(s_ET_ow_o+s_ET_ow_i)*(1/24)*up_RadSpec!W18*up_RadSpec!R18*1</f>
        <v>0.14109225682206314</v>
      </c>
      <c r="V18" s="43">
        <f>s_C*s_EF_ow*(1/365)*s_ED_out*(s_ET_ow_o+s_ET_ow_i)*(1/24)*up_RadSpec!X18*up_RadSpec!S18*1</f>
        <v>0.20147529461027694</v>
      </c>
      <c r="W18" s="43">
        <f>s_C*s_EF_ow*(1/365)*s_ED_out*(s_ET_ow_o+s_ET_ow_i)*(1/24)*up_RadSpec!Y18*up_RadSpec!T18*1</f>
        <v>0.24317550129045062</v>
      </c>
      <c r="X18" s="43">
        <f>s_C*s_EF_ow*(1/365)*s_ED_out*(s_ET_ow_o+s_ET_ow_i)*(1/24)*up_RadSpec!U18*up_RadSpec!P18*1</f>
        <v>8.3004411423264479E-2</v>
      </c>
      <c r="Y18" s="11"/>
      <c r="Z18" s="11"/>
      <c r="AA18" s="11"/>
      <c r="AB18" s="11"/>
      <c r="AC18" s="11"/>
      <c r="AD18" s="22">
        <f>IFERROR(s_TR/(up_RadSpec!G18*s_EF_ow*s_ED_out*(s_ET_ow_o+s_ET_ow_i)*(1/24)*s_IRA_ow),".")</f>
        <v>2.9090909090909094E-10</v>
      </c>
      <c r="AE18" s="22">
        <f>IFERROR(s_TR/(up_RadSpec!J18*s_EF_ow*(1/365)*s_ED_out*(s_ET_ow_o+s_ET_ow_i)*(1/24)*s_GSF_a),".")</f>
        <v>6.3709090909090908E-6</v>
      </c>
      <c r="AF18" s="22">
        <f t="shared" si="6"/>
        <v>2.9089580799548386E-10</v>
      </c>
      <c r="AG18" s="43">
        <f t="shared" si="4"/>
        <v>34375</v>
      </c>
      <c r="AH18" s="43">
        <f t="shared" si="5"/>
        <v>1.5696347031963471</v>
      </c>
      <c r="AI18" s="10"/>
      <c r="AJ18" s="10"/>
      <c r="AK18" s="10"/>
    </row>
    <row r="19" spans="1:37" x14ac:dyDescent="0.25">
      <c r="A19" s="23" t="s">
        <v>29</v>
      </c>
      <c r="B19" s="24" t="s">
        <v>289</v>
      </c>
      <c r="C19" s="2"/>
      <c r="D19" s="22">
        <f>IFERROR((s_TR/(up_RadSpec!I19*s_EF_ow*s_ED_out*s_IRS_ow*(1/1000)))*1,".")</f>
        <v>7.272727272727274E-8</v>
      </c>
      <c r="E19" s="22">
        <f>IFERROR(IF(A19="H-3",(s_TR/(up_RadSpec!G19*s_EF_ow*s_ED_out*(s_ET_ow_o+s_ET_ow_i)*(1/24)*s_IRA_ow*(1/17)*1000))*1,(s_TR/(up_RadSpec!G19*s_EF_ow*s_ED_out*(s_ET_ow_o+s_ET_ow_i)*(1/24)*s_IRA_ow*(1/s_PEF_wind)*1000))*1),".")</f>
        <v>9.0250320889537203E-5</v>
      </c>
      <c r="F19" s="22">
        <f>IFERROR((s_TR/(up_RadSpec!F19*s_EF_ow*(1/365)*s_ED_out*up_RadSpec!Q19*(s_ET_ow_o+s_ET_ow_i)*(1/24)*up_RadSpec!V19))*1,".")</f>
        <v>3.654960303268722E-5</v>
      </c>
      <c r="G19" s="22">
        <f t="shared" si="0"/>
        <v>7.2524518587475153E-8</v>
      </c>
      <c r="H19" s="43">
        <f t="shared" si="1"/>
        <v>137.5</v>
      </c>
      <c r="I19" s="43">
        <f t="shared" si="2"/>
        <v>0.11080293013295324</v>
      </c>
      <c r="J19" s="43">
        <f>s_C*s_EF_ow*(1/365)*s_ED_out*(s_ET_ow_o+s_ET_ow_i)*(1/24)*up_RadSpec!V19*up_RadSpec!Q19*1</f>
        <v>0.27360078277886496</v>
      </c>
      <c r="K19" s="4"/>
      <c r="L19" s="4"/>
      <c r="M19" s="4"/>
      <c r="N19" s="4"/>
      <c r="O19" s="22">
        <f>IFERROR((s_TR/(up_RadSpec!F19*s_EF_ow*(1/365)*s_ED_out*up_RadSpec!Q19*(s_ET_ow_o+s_ET_ow_i)*(1/24)*up_RadSpec!V19))*1,".")</f>
        <v>3.654960303268722E-5</v>
      </c>
      <c r="P19" s="22">
        <f>IFERROR((s_TR/(up_RadSpec!M19*s_EF_ow*(1/365)*s_ED_out*up_RadSpec!R19*(s_ET_ow_o+s_ET_ow_i)*(1/24)*up_RadSpec!W19))*1,".")</f>
        <v>7.2492613769209525E-5</v>
      </c>
      <c r="Q19" s="22">
        <f>IFERROR((s_TR/(up_RadSpec!N19*s_EF_ow*(1/365)*s_ED_out*up_RadSpec!S19*(s_ET_ow_o+s_ET_ow_i)*(1/24)*up_RadSpec!X19))*1,".")</f>
        <v>5.0251823043266919E-5</v>
      </c>
      <c r="R19" s="22">
        <f>IFERROR((s_TR/(up_RadSpec!O19*s_EF_ow*(1/365)*s_ED_out*up_RadSpec!T19*(s_ET_ow_o+s_ET_ow_i)*(1/24)*up_RadSpec!Y19))*1,".")</f>
        <v>4.1970515970515967E-5</v>
      </c>
      <c r="S19" s="22">
        <f>IFERROR((s_TR/(up_RadSpec!K19*s_EF_ow*(1/365)*s_ED_out*up_RadSpec!P19*(s_ET_ow_o+s_ET_ow_i)*(1/24)*up_RadSpec!U19))*1,".")</f>
        <v>1.2483427584651175E-4</v>
      </c>
      <c r="T19" s="43">
        <f>s_C*s_EF_ow*(1/365)*s_ED_out*(s_ET_ow_o+s_ET_ow_i)*(1/24)*up_RadSpec!V19*up_RadSpec!Q19*1</f>
        <v>0.27360078277886496</v>
      </c>
      <c r="U19" s="43">
        <f>s_C*s_EF_ow*(1/365)*s_ED_out*(s_ET_ow_o+s_ET_ow_i)*(1/24)*up_RadSpec!W19*up_RadSpec!R19*1</f>
        <v>0.13794508819665979</v>
      </c>
      <c r="V19" s="43">
        <f>s_C*s_EF_ow*(1/365)*s_ED_out*(s_ET_ow_o+s_ET_ow_i)*(1/24)*up_RadSpec!X19*up_RadSpec!S19*1</f>
        <v>0.1989977555916724</v>
      </c>
      <c r="W19" s="43">
        <f>s_C*s_EF_ow*(1/365)*s_ED_out*(s_ET_ow_o+s_ET_ow_i)*(1/24)*up_RadSpec!Y19*up_RadSpec!T19*1</f>
        <v>0.23826249853647125</v>
      </c>
      <c r="X19" s="43">
        <f>s_C*s_EF_ow*(1/365)*s_ED_out*(s_ET_ow_o+s_ET_ow_i)*(1/24)*up_RadSpec!U19*up_RadSpec!P19*1</f>
        <v>8.0106204263125327E-2</v>
      </c>
      <c r="Y19" s="11"/>
      <c r="Z19" s="11"/>
      <c r="AA19" s="11"/>
      <c r="AB19" s="11"/>
      <c r="AC19" s="11"/>
      <c r="AD19" s="22">
        <f>IFERROR(s_TR/(up_RadSpec!G19*s_EF_ow*s_ED_out*(s_ET_ow_o+s_ET_ow_i)*(1/24)*s_IRA_ow),".")</f>
        <v>2.9090909090909094E-10</v>
      </c>
      <c r="AE19" s="22">
        <f>IFERROR(s_TR/(up_RadSpec!J19*s_EF_ow*(1/365)*s_ED_out*(s_ET_ow_o+s_ET_ow_i)*(1/24)*s_GSF_a),".")</f>
        <v>6.3709090909090908E-6</v>
      </c>
      <c r="AF19" s="22">
        <f t="shared" si="6"/>
        <v>2.9089580799548386E-10</v>
      </c>
      <c r="AG19" s="43">
        <f t="shared" si="4"/>
        <v>34375</v>
      </c>
      <c r="AH19" s="43">
        <f t="shared" si="5"/>
        <v>1.5696347031963471</v>
      </c>
      <c r="AI19" s="10"/>
      <c r="AJ19" s="10"/>
      <c r="AK19" s="10"/>
    </row>
    <row r="20" spans="1:37" x14ac:dyDescent="0.25">
      <c r="A20" s="23" t="s">
        <v>30</v>
      </c>
      <c r="B20" s="24" t="s">
        <v>289</v>
      </c>
      <c r="C20" s="109"/>
      <c r="D20" s="22">
        <f>IFERROR((s_TR/(up_RadSpec!I20*s_EF_ow*s_ED_out*s_IRS_ow*(1/1000)))*1,".")</f>
        <v>7.272727272727274E-8</v>
      </c>
      <c r="E20" s="22">
        <f>IFERROR(IF(A20="H-3",(s_TR/(up_RadSpec!G20*s_EF_ow*s_ED_out*(s_ET_ow_o+s_ET_ow_i)*(1/24)*s_IRA_ow*(1/17)*1000))*1,(s_TR/(up_RadSpec!G20*s_EF_ow*s_ED_out*(s_ET_ow_o+s_ET_ow_i)*(1/24)*s_IRA_ow*(1/s_PEF_wind)*1000))*1),".")</f>
        <v>9.0250320889537203E-5</v>
      </c>
      <c r="F20" s="22">
        <f>IFERROR((s_TR/(up_RadSpec!F20*s_EF_ow*(1/365)*s_ED_out*up_RadSpec!Q20*(s_ET_ow_o+s_ET_ow_i)*(1/24)*up_RadSpec!V20))*1,".")</f>
        <v>3.5939411562557813E-5</v>
      </c>
      <c r="G20" s="22">
        <f t="shared" si="0"/>
        <v>7.2522075339294002E-8</v>
      </c>
      <c r="H20" s="43">
        <f t="shared" si="1"/>
        <v>137.5</v>
      </c>
      <c r="I20" s="43">
        <f t="shared" si="2"/>
        <v>0.11080293013295324</v>
      </c>
      <c r="J20" s="43">
        <f>s_C*s_EF_ow*(1/365)*s_ED_out*(s_ET_ow_o+s_ET_ow_i)*(1/24)*up_RadSpec!V20*up_RadSpec!Q20*1</f>
        <v>0.27824606929341444</v>
      </c>
      <c r="K20" s="4"/>
      <c r="L20" s="4"/>
      <c r="M20" s="4"/>
      <c r="N20" s="4"/>
      <c r="O20" s="22">
        <f>IFERROR((s_TR/(up_RadSpec!F20*s_EF_ow*(1/365)*s_ED_out*up_RadSpec!Q20*(s_ET_ow_o+s_ET_ow_i)*(1/24)*up_RadSpec!V20))*1,".")</f>
        <v>3.5939411562557813E-5</v>
      </c>
      <c r="P20" s="22">
        <f>IFERROR((s_TR/(up_RadSpec!M20*s_EF_ow*(1/365)*s_ED_out*up_RadSpec!R20*(s_ET_ow_o+s_ET_ow_i)*(1/24)*up_RadSpec!W20))*1,".")</f>
        <v>7.0875923413236868E-5</v>
      </c>
      <c r="Q20" s="22">
        <f>IFERROR((s_TR/(up_RadSpec!N20*s_EF_ow*(1/365)*s_ED_out*up_RadSpec!S20*(s_ET_ow_o+s_ET_ow_i)*(1/24)*up_RadSpec!X20))*1,".")</f>
        <v>4.9590409590409608E-5</v>
      </c>
      <c r="R20" s="22">
        <f>IFERROR((s_TR/(up_RadSpec!O20*s_EF_ow*(1/365)*s_ED_out*up_RadSpec!T20*(s_ET_ow_o+s_ET_ow_i)*(1/24)*up_RadSpec!Y20))*1,".")</f>
        <v>4.1639928698752258E-5</v>
      </c>
      <c r="S20" s="22">
        <f>IFERROR((s_TR/(up_RadSpec!K20*s_EF_ow*(1/365)*s_ED_out*up_RadSpec!P20*(s_ET_ow_o+s_ET_ow_i)*(1/24)*up_RadSpec!U20))*1,".")</f>
        <v>1.2076986076986083E-4</v>
      </c>
      <c r="T20" s="43">
        <f>s_C*s_EF_ow*(1/365)*s_ED_out*(s_ET_ow_o+s_ET_ow_i)*(1/24)*up_RadSpec!V20*up_RadSpec!Q20*1</f>
        <v>0.27824606929341444</v>
      </c>
      <c r="U20" s="43">
        <f>s_C*s_EF_ow*(1/365)*s_ED_out*(s_ET_ow_o+s_ET_ow_i)*(1/24)*up_RadSpec!W20*up_RadSpec!R20*1</f>
        <v>0.14109163617799711</v>
      </c>
      <c r="V20" s="43">
        <f>s_C*s_EF_ow*(1/365)*s_ED_out*(s_ET_ow_o+s_ET_ow_i)*(1/24)*up_RadSpec!X20*up_RadSpec!S20*1</f>
        <v>0.20165189363416597</v>
      </c>
      <c r="W20" s="43">
        <f>s_C*s_EF_ow*(1/365)*s_ED_out*(s_ET_ow_o+s_ET_ow_i)*(1/24)*up_RadSpec!Y20*up_RadSpec!T20*1</f>
        <v>0.24015410958904101</v>
      </c>
      <c r="X20" s="43">
        <f>s_C*s_EF_ow*(1/365)*s_ED_out*(s_ET_ow_o+s_ET_ow_i)*(1/24)*up_RadSpec!U20*up_RadSpec!P20*1</f>
        <v>8.2802115828021133E-2</v>
      </c>
      <c r="Y20" s="11"/>
      <c r="Z20" s="11"/>
      <c r="AA20" s="11"/>
      <c r="AB20" s="11"/>
      <c r="AC20" s="11"/>
      <c r="AD20" s="22">
        <f>IFERROR(s_TR/(up_RadSpec!G20*s_EF_ow*s_ED_out*(s_ET_ow_o+s_ET_ow_i)*(1/24)*s_IRA_ow),".")</f>
        <v>2.9090909090909094E-10</v>
      </c>
      <c r="AE20" s="22">
        <f>IFERROR(s_TR/(up_RadSpec!J20*s_EF_ow*(1/365)*s_ED_out*(s_ET_ow_o+s_ET_ow_i)*(1/24)*s_GSF_a),".")</f>
        <v>6.3709090909090908E-6</v>
      </c>
      <c r="AF20" s="22">
        <f t="shared" si="6"/>
        <v>2.9089580799548386E-10</v>
      </c>
      <c r="AG20" s="43">
        <f t="shared" si="4"/>
        <v>34375</v>
      </c>
      <c r="AH20" s="43">
        <f t="shared" si="5"/>
        <v>1.5696347031963471</v>
      </c>
      <c r="AI20" s="10"/>
      <c r="AJ20" s="10"/>
      <c r="AK20" s="10"/>
    </row>
    <row r="21" spans="1:37" x14ac:dyDescent="0.25">
      <c r="A21" s="23" t="s">
        <v>31</v>
      </c>
      <c r="B21" s="24" t="s">
        <v>289</v>
      </c>
      <c r="C21" s="109"/>
      <c r="D21" s="22">
        <f>IFERROR((s_TR/(up_RadSpec!I21*s_EF_ow*s_ED_out*s_IRS_ow*(1/1000)))*1,".")</f>
        <v>7.272727272727274E-8</v>
      </c>
      <c r="E21" s="22">
        <f>IFERROR(IF(A21="H-3",(s_TR/(up_RadSpec!G21*s_EF_ow*s_ED_out*(s_ET_ow_o+s_ET_ow_i)*(1/24)*s_IRA_ow*(1/17)*1000))*1,(s_TR/(up_RadSpec!G21*s_EF_ow*s_ED_out*(s_ET_ow_o+s_ET_ow_i)*(1/24)*s_IRA_ow*(1/s_PEF_wind)*1000))*1),".")</f>
        <v>9.0250320889537203E-5</v>
      </c>
      <c r="F21" s="22" t="str">
        <f>IFERROR((s_TR/(up_RadSpec!F21*s_EF_ow*(1/365)*s_ED_out*up_RadSpec!Q21*(s_ET_ow_o+s_ET_ow_i)*(1/24)*up_RadSpec!V21))*1,".")</f>
        <v>.</v>
      </c>
      <c r="G21" s="22">
        <f t="shared" si="0"/>
        <v>7.26687134081846E-8</v>
      </c>
      <c r="H21" s="43">
        <f t="shared" si="1"/>
        <v>137.5</v>
      </c>
      <c r="I21" s="43">
        <f t="shared" si="2"/>
        <v>0.11080293013295324</v>
      </c>
      <c r="J21" s="43">
        <f>s_C*s_EF_ow*(1/365)*s_ED_out*(s_ET_ow_o+s_ET_ow_i)*(1/24)*up_RadSpec!V21*up_RadSpec!Q21*1</f>
        <v>0</v>
      </c>
      <c r="K21" s="4"/>
      <c r="L21" s="4"/>
      <c r="M21" s="4"/>
      <c r="N21" s="4"/>
      <c r="O21" s="22" t="str">
        <f>IFERROR((s_TR/(up_RadSpec!F21*s_EF_ow*(1/365)*s_ED_out*up_RadSpec!Q21*(s_ET_ow_o+s_ET_ow_i)*(1/24)*up_RadSpec!V21))*1,".")</f>
        <v>.</v>
      </c>
      <c r="P21" s="22" t="str">
        <f>IFERROR((s_TR/(up_RadSpec!M21*s_EF_ow*(1/365)*s_ED_out*up_RadSpec!R21*(s_ET_ow_o+s_ET_ow_i)*(1/24)*up_RadSpec!W21))*1,".")</f>
        <v>.</v>
      </c>
      <c r="Q21" s="22" t="str">
        <f>IFERROR((s_TR/(up_RadSpec!N21*s_EF_ow*(1/365)*s_ED_out*up_RadSpec!S21*(s_ET_ow_o+s_ET_ow_i)*(1/24)*up_RadSpec!X21))*1,".")</f>
        <v>.</v>
      </c>
      <c r="R21" s="22" t="str">
        <f>IFERROR((s_TR/(up_RadSpec!O21*s_EF_ow*(1/365)*s_ED_out*up_RadSpec!T21*(s_ET_ow_o+s_ET_ow_i)*(1/24)*up_RadSpec!Y21))*1,".")</f>
        <v>.</v>
      </c>
      <c r="S21" s="22" t="str">
        <f>IFERROR((s_TR/(up_RadSpec!K21*s_EF_ow*(1/365)*s_ED_out*up_RadSpec!P21*(s_ET_ow_o+s_ET_ow_i)*(1/24)*up_RadSpec!U21))*1,".")</f>
        <v>.</v>
      </c>
      <c r="T21" s="43">
        <f>s_C*s_EF_ow*(1/365)*s_ED_out*(s_ET_ow_o+s_ET_ow_i)*(1/24)*up_RadSpec!V21*up_RadSpec!Q21*1</f>
        <v>0</v>
      </c>
      <c r="U21" s="43">
        <f>s_C*s_EF_ow*(1/365)*s_ED_out*(s_ET_ow_o+s_ET_ow_i)*(1/24)*up_RadSpec!W21*up_RadSpec!R21*1</f>
        <v>0</v>
      </c>
      <c r="V21" s="43">
        <f>s_C*s_EF_ow*(1/365)*s_ED_out*(s_ET_ow_o+s_ET_ow_i)*(1/24)*up_RadSpec!X21*up_RadSpec!S21*1</f>
        <v>0</v>
      </c>
      <c r="W21" s="43">
        <f>s_C*s_EF_ow*(1/365)*s_ED_out*(s_ET_ow_o+s_ET_ow_i)*(1/24)*up_RadSpec!Y21*up_RadSpec!T21*1</f>
        <v>0</v>
      </c>
      <c r="X21" s="43">
        <f>s_C*s_EF_ow*(1/365)*s_ED_out*(s_ET_ow_o+s_ET_ow_i)*(1/24)*up_RadSpec!U21*up_RadSpec!P21*1</f>
        <v>0</v>
      </c>
      <c r="Y21" s="11"/>
      <c r="Z21" s="11"/>
      <c r="AA21" s="11"/>
      <c r="AB21" s="11"/>
      <c r="AC21" s="11"/>
      <c r="AD21" s="22">
        <f>IFERROR(s_TR/(up_RadSpec!G21*s_EF_ow*s_ED_out*(s_ET_ow_o+s_ET_ow_i)*(1/24)*s_IRA_ow),".")</f>
        <v>2.9090909090909094E-10</v>
      </c>
      <c r="AE21" s="22">
        <f>IFERROR(s_TR/(up_RadSpec!J21*s_EF_ow*(1/365)*s_ED_out*(s_ET_ow_o+s_ET_ow_i)*(1/24)*s_GSF_a),".")</f>
        <v>6.3709090909090908E-6</v>
      </c>
      <c r="AF21" s="22">
        <f t="shared" si="6"/>
        <v>2.9089580799548386E-10</v>
      </c>
      <c r="AG21" s="43">
        <f t="shared" si="4"/>
        <v>34375</v>
      </c>
      <c r="AH21" s="43">
        <f t="shared" si="5"/>
        <v>1.5696347031963471</v>
      </c>
      <c r="AI21" s="10"/>
      <c r="AJ21" s="10"/>
      <c r="AK21" s="10"/>
    </row>
    <row r="22" spans="1:37" x14ac:dyDescent="0.25">
      <c r="A22" s="23" t="s">
        <v>32</v>
      </c>
      <c r="B22" s="24" t="s">
        <v>289</v>
      </c>
      <c r="C22" s="2"/>
      <c r="D22" s="22">
        <f>IFERROR((s_TR/(up_RadSpec!I22*s_EF_ow*s_ED_out*s_IRS_ow*(1/1000)))*1,".")</f>
        <v>7.272727272727274E-8</v>
      </c>
      <c r="E22" s="22">
        <f>IFERROR(IF(A22="H-3",(s_TR/(up_RadSpec!G22*s_EF_ow*s_ED_out*(s_ET_ow_o+s_ET_ow_i)*(1/24)*s_IRA_ow*(1/17)*1000))*1,(s_TR/(up_RadSpec!G22*s_EF_ow*s_ED_out*(s_ET_ow_o+s_ET_ow_i)*(1/24)*s_IRA_ow*(1/s_PEF_wind)*1000))*1),".")</f>
        <v>9.0250320889537203E-5</v>
      </c>
      <c r="F22" s="22">
        <f>IFERROR((s_TR/(up_RadSpec!F22*s_EF_ow*(1/365)*s_ED_out*up_RadSpec!Q22*(s_ET_ow_o+s_ET_ow_i)*(1/24)*up_RadSpec!V22))*1,".")</f>
        <v>152.850439882698</v>
      </c>
      <c r="G22" s="22">
        <f t="shared" si="0"/>
        <v>7.2668713373636177E-8</v>
      </c>
      <c r="H22" s="43">
        <f t="shared" si="1"/>
        <v>137.5</v>
      </c>
      <c r="I22" s="43">
        <f t="shared" si="2"/>
        <v>0.11080293013295324</v>
      </c>
      <c r="J22" s="43">
        <f>s_C*s_EF_ow*(1/365)*s_ED_out*(s_ET_ow_o+s_ET_ow_i)*(1/24)*up_RadSpec!V22*up_RadSpec!Q22*1</f>
        <v>6.5423429645830922E-8</v>
      </c>
      <c r="K22" s="4"/>
      <c r="L22" s="4"/>
      <c r="M22" s="4"/>
      <c r="N22" s="4"/>
      <c r="O22" s="22">
        <f>IFERROR((s_TR/(up_RadSpec!F22*s_EF_ow*(1/365)*s_ED_out*up_RadSpec!Q22*(s_ET_ow_o+s_ET_ow_i)*(1/24)*up_RadSpec!V22))*1,".")</f>
        <v>152.850439882698</v>
      </c>
      <c r="P22" s="22">
        <f>IFERROR((s_TR/(up_RadSpec!M22*s_EF_ow*(1/365)*s_ED_out*up_RadSpec!R22*(s_ET_ow_o+s_ET_ow_i)*(1/24)*up_RadSpec!W22))*1,".")</f>
        <v>140.06003150167919</v>
      </c>
      <c r="Q22" s="22">
        <f>IFERROR((s_TR/(up_RadSpec!N22*s_EF_ow*(1/365)*s_ED_out*up_RadSpec!S22*(s_ET_ow_o+s_ET_ow_i)*(1/24)*up_RadSpec!X22))*1,".")</f>
        <v>107.60360759143475</v>
      </c>
      <c r="R22" s="22">
        <f>IFERROR((s_TR/(up_RadSpec!O22*s_EF_ow*(1/365)*s_ED_out*up_RadSpec!T22*(s_ET_ow_o+s_ET_ow_i)*(1/24)*up_RadSpec!Y22))*1,".")</f>
        <v>110.88257575757572</v>
      </c>
      <c r="S22" s="22">
        <f>IFERROR((s_TR/(up_RadSpec!K22*s_EF_ow*(1/365)*s_ED_out*up_RadSpec!P22*(s_ET_ow_o+s_ET_ow_i)*(1/24)*up_RadSpec!U22))*1,".")</f>
        <v>786.78866993535519</v>
      </c>
      <c r="T22" s="43">
        <f>s_C*s_EF_ow*(1/365)*s_ED_out*(s_ET_ow_o+s_ET_ow_i)*(1/24)*up_RadSpec!V22*up_RadSpec!Q22*1</f>
        <v>6.5423429645830922E-8</v>
      </c>
      <c r="U22" s="43">
        <f>s_C*s_EF_ow*(1/365)*s_ED_out*(s_ET_ow_o+s_ET_ow_i)*(1/24)*up_RadSpec!W22*up_RadSpec!R22*1</f>
        <v>7.1397956239072443E-8</v>
      </c>
      <c r="V22" s="43">
        <f>s_C*s_EF_ow*(1/365)*s_ED_out*(s_ET_ow_o+s_ET_ow_i)*(1/24)*up_RadSpec!X22*up_RadSpec!S22*1</f>
        <v>9.2933687111769299E-8</v>
      </c>
      <c r="W22" s="43">
        <f>s_C*s_EF_ow*(1/365)*s_ED_out*(s_ET_ow_o+s_ET_ow_i)*(1/24)*up_RadSpec!Y22*up_RadSpec!T22*1</f>
        <v>9.0185495166194156E-8</v>
      </c>
      <c r="X22" s="43">
        <f>s_C*s_EF_ow*(1/365)*s_ED_out*(s_ET_ow_o+s_ET_ow_i)*(1/24)*up_RadSpec!U22*up_RadSpec!P22*1</f>
        <v>1.2709893243406304E-8</v>
      </c>
      <c r="Y22" s="11"/>
      <c r="Z22" s="11"/>
      <c r="AA22" s="11"/>
      <c r="AB22" s="11"/>
      <c r="AC22" s="11"/>
      <c r="AD22" s="22">
        <f>IFERROR(s_TR/(up_RadSpec!G22*s_EF_ow*s_ED_out*(s_ET_ow_o+s_ET_ow_i)*(1/24)*s_IRA_ow),".")</f>
        <v>2.9090909090909094E-10</v>
      </c>
      <c r="AE22" s="22">
        <f>IFERROR(s_TR/(up_RadSpec!J22*s_EF_ow*(1/365)*s_ED_out*(s_ET_ow_o+s_ET_ow_i)*(1/24)*s_GSF_a),".")</f>
        <v>6.3709090909090908E-6</v>
      </c>
      <c r="AF22" s="22">
        <f t="shared" si="6"/>
        <v>2.9089580799548386E-10</v>
      </c>
      <c r="AG22" s="43">
        <f t="shared" si="4"/>
        <v>34375</v>
      </c>
      <c r="AH22" s="43">
        <f t="shared" si="5"/>
        <v>1.5696347031963471</v>
      </c>
      <c r="AI22" s="10"/>
      <c r="AJ22" s="10"/>
      <c r="AK22" s="10"/>
    </row>
    <row r="23" spans="1:37" x14ac:dyDescent="0.25">
      <c r="A23" s="25" t="s">
        <v>33</v>
      </c>
      <c r="B23" s="24" t="s">
        <v>275</v>
      </c>
      <c r="C23" s="109"/>
      <c r="D23" s="22">
        <f>IFERROR((s_TR/(up_RadSpec!I23*s_EF_ow*s_ED_out*s_IRS_ow*(1/1000)))*1,".")</f>
        <v>7.272727272727274E-8</v>
      </c>
      <c r="E23" s="22">
        <f>IFERROR(IF(A23="H-3",(s_TR/(up_RadSpec!G23*s_EF_ow*s_ED_out*(s_ET_ow_o+s_ET_ow_i)*(1/24)*s_IRA_ow*(1/17)*1000))*1,(s_TR/(up_RadSpec!G23*s_EF_ow*s_ED_out*(s_ET_ow_o+s_ET_ow_i)*(1/24)*s_IRA_ow*(1/s_PEF_wind)*1000))*1),".")</f>
        <v>9.0250320889537203E-5</v>
      </c>
      <c r="F23" s="22">
        <f>IFERROR((s_TR/(up_RadSpec!F23*s_EF_ow*(1/365)*s_ED_out*up_RadSpec!Q23*(s_ET_ow_o+s_ET_ow_i)*(1/24)*up_RadSpec!V23))*1,".")</f>
        <v>3.5003923532849144E-5</v>
      </c>
      <c r="G23" s="22">
        <f t="shared" si="0"/>
        <v>7.2518164521584467E-8</v>
      </c>
      <c r="H23" s="43">
        <f t="shared" si="1"/>
        <v>137.5</v>
      </c>
      <c r="I23" s="43">
        <f t="shared" si="2"/>
        <v>0.11080293013295324</v>
      </c>
      <c r="J23" s="43">
        <f>s_C*s_EF_ow*(1/365)*s_ED_out*(s_ET_ow_o+s_ET_ow_i)*(1/24)*up_RadSpec!V23*up_RadSpec!Q23*1</f>
        <v>0.28568226046476142</v>
      </c>
      <c r="K23" s="4"/>
      <c r="L23" s="4"/>
      <c r="M23" s="4"/>
      <c r="N23" s="4"/>
      <c r="O23" s="22">
        <f>IFERROR((s_TR/(up_RadSpec!F23*s_EF_ow*(1/365)*s_ED_out*up_RadSpec!Q23*(s_ET_ow_o+s_ET_ow_i)*(1/24)*up_RadSpec!V23))*1,".")</f>
        <v>3.5003923532849144E-5</v>
      </c>
      <c r="P23" s="22">
        <f>IFERROR((s_TR/(up_RadSpec!M23*s_EF_ow*(1/365)*s_ED_out*up_RadSpec!R23*(s_ET_ow_o+s_ET_ow_i)*(1/24)*up_RadSpec!W23))*1,".")</f>
        <v>6.2307642417036043E-5</v>
      </c>
      <c r="Q23" s="22">
        <f>IFERROR((s_TR/(up_RadSpec!N23*s_EF_ow*(1/365)*s_ED_out*up_RadSpec!S23*(s_ET_ow_o+s_ET_ow_i)*(1/24)*up_RadSpec!X23))*1,".")</f>
        <v>4.4059313285674305E-5</v>
      </c>
      <c r="R23" s="22">
        <f>IFERROR((s_TR/(up_RadSpec!O23*s_EF_ow*(1/365)*s_ED_out*up_RadSpec!T23*(s_ET_ow_o+s_ET_ow_i)*(1/24)*up_RadSpec!Y23))*1,".")</f>
        <v>3.6055144855144853E-5</v>
      </c>
      <c r="S23" s="22">
        <f>IFERROR((s_TR/(up_RadSpec!K23*s_EF_ow*(1/365)*s_ED_out*up_RadSpec!P23*(s_ET_ow_o+s_ET_ow_i)*(1/24)*up_RadSpec!U23))*1,".")</f>
        <v>9.8081956878073384E-5</v>
      </c>
      <c r="T23" s="43">
        <f>s_C*s_EF_ow*(1/365)*s_ED_out*(s_ET_ow_o+s_ET_ow_i)*(1/24)*up_RadSpec!V23*up_RadSpec!Q23*1</f>
        <v>0.28568226046476142</v>
      </c>
      <c r="U23" s="43">
        <f>s_C*s_EF_ow*(1/365)*s_ED_out*(s_ET_ow_o+s_ET_ow_i)*(1/24)*up_RadSpec!W23*up_RadSpec!R23*1</f>
        <v>0.16049395567028901</v>
      </c>
      <c r="V23" s="43">
        <f>s_C*s_EF_ow*(1/365)*s_ED_out*(s_ET_ow_o+s_ET_ow_i)*(1/24)*up_RadSpec!X23*up_RadSpec!S23*1</f>
        <v>0.22696676943558855</v>
      </c>
      <c r="W23" s="43">
        <f>s_C*s_EF_ow*(1/365)*s_ED_out*(s_ET_ow_o+s_ET_ow_i)*(1/24)*up_RadSpec!Y23*up_RadSpec!T23*1</f>
        <v>0.27735292813760704</v>
      </c>
      <c r="X23" s="43">
        <f>s_C*s_EF_ow*(1/365)*s_ED_out*(s_ET_ow_o+s_ET_ow_i)*(1/24)*up_RadSpec!U23*up_RadSpec!P23*1</f>
        <v>0.10195555144185284</v>
      </c>
      <c r="Y23" s="11"/>
      <c r="Z23" s="11"/>
      <c r="AA23" s="11"/>
      <c r="AB23" s="11"/>
      <c r="AC23" s="11"/>
      <c r="AD23" s="22">
        <f>IFERROR(s_TR/(up_RadSpec!G23*s_EF_ow*s_ED_out*(s_ET_ow_o+s_ET_ow_i)*(1/24)*s_IRA_ow),".")</f>
        <v>2.9090909090909094E-10</v>
      </c>
      <c r="AE23" s="22">
        <f>IFERROR(s_TR/(up_RadSpec!J23*s_EF_ow*(1/365)*s_ED_out*(s_ET_ow_o+s_ET_ow_i)*(1/24)*s_GSF_a),".")</f>
        <v>6.3709090909090908E-6</v>
      </c>
      <c r="AF23" s="22">
        <f t="shared" si="6"/>
        <v>2.9089580799548386E-10</v>
      </c>
      <c r="AG23" s="43">
        <f t="shared" si="4"/>
        <v>34375</v>
      </c>
      <c r="AH23" s="43">
        <f t="shared" si="5"/>
        <v>1.5696347031963471</v>
      </c>
      <c r="AI23" s="10"/>
      <c r="AJ23" s="10"/>
      <c r="AK23" s="10"/>
    </row>
    <row r="24" spans="1:37" x14ac:dyDescent="0.25">
      <c r="A24" s="23" t="s">
        <v>34</v>
      </c>
      <c r="B24" s="24" t="s">
        <v>289</v>
      </c>
      <c r="C24" s="109"/>
      <c r="D24" s="22">
        <f>IFERROR((s_TR/(up_RadSpec!I24*s_EF_ow*s_ED_out*s_IRS_ow*(1/1000)))*1,".")</f>
        <v>7.272727272727274E-8</v>
      </c>
      <c r="E24" s="22">
        <f>IFERROR(IF(A24="H-3",(s_TR/(up_RadSpec!G24*s_EF_ow*s_ED_out*(s_ET_ow_o+s_ET_ow_i)*(1/24)*s_IRA_ow*(1/17)*1000))*1,(s_TR/(up_RadSpec!G24*s_EF_ow*s_ED_out*(s_ET_ow_o+s_ET_ow_i)*(1/24)*s_IRA_ow*(1/s_PEF_wind)*1000))*1),".")</f>
        <v>9.0250320889537203E-5</v>
      </c>
      <c r="F24" s="22">
        <f>IFERROR((s_TR/(up_RadSpec!F24*s_EF_ow*(1/365)*s_ED_out*up_RadSpec!Q24*(s_ET_ow_o+s_ET_ow_i)*(1/24)*up_RadSpec!V24))*1,".")</f>
        <v>4.588736227558055E-5</v>
      </c>
      <c r="G24" s="22">
        <f t="shared" si="0"/>
        <v>7.255381483664826E-8</v>
      </c>
      <c r="H24" s="43">
        <f t="shared" si="1"/>
        <v>137.5</v>
      </c>
      <c r="I24" s="43">
        <f t="shared" si="2"/>
        <v>0.11080293013295324</v>
      </c>
      <c r="J24" s="43">
        <f>s_C*s_EF_ow*(1/365)*s_ED_out*(s_ET_ow_o+s_ET_ow_i)*(1/24)*up_RadSpec!V24*up_RadSpec!Q24*1</f>
        <v>0.21792492538455643</v>
      </c>
      <c r="K24" s="4"/>
      <c r="L24" s="4"/>
      <c r="M24" s="4"/>
      <c r="N24" s="4"/>
      <c r="O24" s="22">
        <f>IFERROR((s_TR/(up_RadSpec!F24*s_EF_ow*(1/365)*s_ED_out*up_RadSpec!Q24*(s_ET_ow_o+s_ET_ow_i)*(1/24)*up_RadSpec!V24))*1,".")</f>
        <v>4.588736227558055E-5</v>
      </c>
      <c r="P24" s="22">
        <f>IFERROR((s_TR/(up_RadSpec!M24*s_EF_ow*(1/365)*s_ED_out*up_RadSpec!R24*(s_ET_ow_o+s_ET_ow_i)*(1/24)*up_RadSpec!W24))*1,".")</f>
        <v>8.319447442262036E-5</v>
      </c>
      <c r="Q24" s="22">
        <f>IFERROR((s_TR/(up_RadSpec!N24*s_EF_ow*(1/365)*s_ED_out*up_RadSpec!S24*(s_ET_ow_o+s_ET_ow_i)*(1/24)*up_RadSpec!X24))*1,".")</f>
        <v>5.8740674803103339E-5</v>
      </c>
      <c r="R24" s="22">
        <f>IFERROR((s_TR/(up_RadSpec!O24*s_EF_ow*(1/365)*s_ED_out*up_RadSpec!T24*(s_ET_ow_o+s_ET_ow_i)*(1/24)*up_RadSpec!Y24))*1,".")</f>
        <v>4.9052272027325928E-5</v>
      </c>
      <c r="S24" s="22">
        <f>IFERROR((s_TR/(up_RadSpec!K24*s_EF_ow*(1/365)*s_ED_out*up_RadSpec!P24*(s_ET_ow_o+s_ET_ow_i)*(1/24)*up_RadSpec!U24))*1,".")</f>
        <v>1.3826973026973021E-4</v>
      </c>
      <c r="T24" s="43">
        <f>s_C*s_EF_ow*(1/365)*s_ED_out*(s_ET_ow_o+s_ET_ow_i)*(1/24)*up_RadSpec!V24*up_RadSpec!Q24*1</f>
        <v>0.21792492538455643</v>
      </c>
      <c r="U24" s="43">
        <f>s_C*s_EF_ow*(1/365)*s_ED_out*(s_ET_ow_o+s_ET_ow_i)*(1/24)*up_RadSpec!W24*up_RadSpec!R24*1</f>
        <v>0.12020029057700292</v>
      </c>
      <c r="V24" s="43">
        <f>s_C*s_EF_ow*(1/365)*s_ED_out*(s_ET_ow_o+s_ET_ow_i)*(1/24)*up_RadSpec!X24*up_RadSpec!S24*1</f>
        <v>0.17023978756661629</v>
      </c>
      <c r="W24" s="43">
        <f>s_C*s_EF_ow*(1/365)*s_ED_out*(s_ET_ow_o+s_ET_ow_i)*(1/24)*up_RadSpec!Y24*up_RadSpec!T24*1</f>
        <v>0.20386415525114157</v>
      </c>
      <c r="X24" s="43">
        <f>s_C*s_EF_ow*(1/365)*s_ED_out*(s_ET_ow_o+s_ET_ow_i)*(1/24)*up_RadSpec!U24*up_RadSpec!P24*1</f>
        <v>7.2322409109300073E-2</v>
      </c>
      <c r="Y24" s="11"/>
      <c r="Z24" s="11"/>
      <c r="AA24" s="11"/>
      <c r="AB24" s="11"/>
      <c r="AC24" s="11"/>
      <c r="AD24" s="22">
        <f>IFERROR(s_TR/(up_RadSpec!G24*s_EF_ow*s_ED_out*(s_ET_ow_o+s_ET_ow_i)*(1/24)*s_IRA_ow),".")</f>
        <v>2.9090909090909094E-10</v>
      </c>
      <c r="AE24" s="22">
        <f>IFERROR(s_TR/(up_RadSpec!J24*s_EF_ow*(1/365)*s_ED_out*(s_ET_ow_o+s_ET_ow_i)*(1/24)*s_GSF_a),".")</f>
        <v>6.3709090909090908E-6</v>
      </c>
      <c r="AF24" s="22">
        <f t="shared" si="6"/>
        <v>2.9089580799548386E-10</v>
      </c>
      <c r="AG24" s="43">
        <f t="shared" si="4"/>
        <v>34375</v>
      </c>
      <c r="AH24" s="43">
        <f t="shared" si="5"/>
        <v>1.5696347031963471</v>
      </c>
      <c r="AI24" s="10"/>
      <c r="AJ24" s="10"/>
      <c r="AK24" s="10"/>
    </row>
    <row r="25" spans="1:37" x14ac:dyDescent="0.25">
      <c r="A25" s="25" t="s">
        <v>35</v>
      </c>
      <c r="B25" s="24" t="s">
        <v>275</v>
      </c>
      <c r="C25" s="109"/>
      <c r="D25" s="22">
        <f>IFERROR((s_TR/(up_RadSpec!I25*s_EF_ow*s_ED_out*s_IRS_ow*(1/1000)))*1,".")</f>
        <v>7.272727272727274E-8</v>
      </c>
      <c r="E25" s="22">
        <f>IFERROR(IF(A25="H-3",(s_TR/(up_RadSpec!G25*s_EF_ow*s_ED_out*(s_ET_ow_o+s_ET_ow_i)*(1/24)*s_IRA_ow*(1/17)*1000))*1,(s_TR/(up_RadSpec!G25*s_EF_ow*s_ED_out*(s_ET_ow_o+s_ET_ow_i)*(1/24)*s_IRA_ow*(1/s_PEF_wind)*1000))*1),".")</f>
        <v>9.0250320889537203E-5</v>
      </c>
      <c r="F25" s="22">
        <f>IFERROR((s_TR/(up_RadSpec!F25*s_EF_ow*(1/365)*s_ED_out*up_RadSpec!Q25*(s_ET_ow_o+s_ET_ow_i)*(1/24)*up_RadSpec!V25))*1,".")</f>
        <v>5.1171960569550945E-5</v>
      </c>
      <c r="G25" s="22">
        <f t="shared" si="0"/>
        <v>7.2565663742643228E-8</v>
      </c>
      <c r="H25" s="43">
        <f t="shared" si="1"/>
        <v>137.5</v>
      </c>
      <c r="I25" s="43">
        <f t="shared" si="2"/>
        <v>0.11080293013295324</v>
      </c>
      <c r="J25" s="43">
        <f>s_C*s_EF_ow*(1/365)*s_ED_out*(s_ET_ow_o+s_ET_ow_i)*(1/24)*up_RadSpec!V25*up_RadSpec!Q25*1</f>
        <v>0.1954195205479452</v>
      </c>
      <c r="K25" s="4"/>
      <c r="L25" s="4"/>
      <c r="M25" s="4"/>
      <c r="N25" s="4"/>
      <c r="O25" s="22">
        <f>IFERROR((s_TR/(up_RadSpec!F25*s_EF_ow*(1/365)*s_ED_out*up_RadSpec!Q25*(s_ET_ow_o+s_ET_ow_i)*(1/24)*up_RadSpec!V25))*1,".")</f>
        <v>5.1171960569550945E-5</v>
      </c>
      <c r="P25" s="22">
        <f>IFERROR((s_TR/(up_RadSpec!M25*s_EF_ow*(1/365)*s_ED_out*up_RadSpec!R25*(s_ET_ow_o+s_ET_ow_i)*(1/24)*up_RadSpec!W25))*1,".")</f>
        <v>9.1638362553616787E-5</v>
      </c>
      <c r="Q25" s="22">
        <f>IFERROR((s_TR/(up_RadSpec!N25*s_EF_ow*(1/365)*s_ED_out*up_RadSpec!S25*(s_ET_ow_o+s_ET_ow_i)*(1/24)*up_RadSpec!X25))*1,".")</f>
        <v>6.5732694272020137E-5</v>
      </c>
      <c r="R25" s="22">
        <f>IFERROR((s_TR/(up_RadSpec!O25*s_EF_ow*(1/365)*s_ED_out*up_RadSpec!T25*(s_ET_ow_o+s_ET_ow_i)*(1/24)*up_RadSpec!Y25))*1,".")</f>
        <v>5.8697641341709148E-5</v>
      </c>
      <c r="S25" s="22">
        <f>IFERROR((s_TR/(up_RadSpec!K25*s_EF_ow*(1/365)*s_ED_out*up_RadSpec!P25*(s_ET_ow_o+s_ET_ow_i)*(1/24)*up_RadSpec!U25))*1,".")</f>
        <v>1.6429752066115703E-4</v>
      </c>
      <c r="T25" s="43">
        <f>s_C*s_EF_ow*(1/365)*s_ED_out*(s_ET_ow_o+s_ET_ow_i)*(1/24)*up_RadSpec!V25*up_RadSpec!Q25*1</f>
        <v>0.1954195205479452</v>
      </c>
      <c r="U25" s="43">
        <f>s_C*s_EF_ow*(1/365)*s_ED_out*(s_ET_ow_o+s_ET_ow_i)*(1/24)*up_RadSpec!W25*up_RadSpec!R25*1</f>
        <v>0.10912460372858684</v>
      </c>
      <c r="V25" s="43">
        <f>s_C*s_EF_ow*(1/365)*s_ED_out*(s_ET_ow_o+s_ET_ow_i)*(1/24)*up_RadSpec!X25*up_RadSpec!S25*1</f>
        <v>0.15213129646895693</v>
      </c>
      <c r="W25" s="43">
        <f>s_C*s_EF_ow*(1/365)*s_ED_out*(s_ET_ow_o+s_ET_ow_i)*(1/24)*up_RadSpec!Y25*up_RadSpec!T25*1</f>
        <v>0.17036459679503749</v>
      </c>
      <c r="X25" s="43">
        <f>s_C*s_EF_ow*(1/365)*s_ED_out*(s_ET_ow_o+s_ET_ow_i)*(1/24)*up_RadSpec!U25*up_RadSpec!P25*1</f>
        <v>6.0865191146881298E-2</v>
      </c>
      <c r="Y25" s="11"/>
      <c r="Z25" s="11"/>
      <c r="AA25" s="11"/>
      <c r="AB25" s="11"/>
      <c r="AC25" s="11"/>
      <c r="AD25" s="22">
        <f>IFERROR(s_TR/(up_RadSpec!G25*s_EF_ow*s_ED_out*(s_ET_ow_o+s_ET_ow_i)*(1/24)*s_IRA_ow),".")</f>
        <v>2.9090909090909094E-10</v>
      </c>
      <c r="AE25" s="22">
        <f>IFERROR(s_TR/(up_RadSpec!J25*s_EF_ow*(1/365)*s_ED_out*(s_ET_ow_o+s_ET_ow_i)*(1/24)*s_GSF_a),".")</f>
        <v>6.3709090909090908E-6</v>
      </c>
      <c r="AF25" s="22">
        <f t="shared" si="6"/>
        <v>2.9089580799548386E-10</v>
      </c>
      <c r="AG25" s="43">
        <f t="shared" si="4"/>
        <v>34375</v>
      </c>
      <c r="AH25" s="43">
        <f t="shared" si="5"/>
        <v>1.5696347031963471</v>
      </c>
      <c r="AI25" s="10"/>
      <c r="AJ25" s="10"/>
      <c r="AK25" s="10"/>
    </row>
    <row r="26" spans="1:37" x14ac:dyDescent="0.25">
      <c r="A26" s="23" t="s">
        <v>36</v>
      </c>
      <c r="B26" s="24" t="s">
        <v>289</v>
      </c>
      <c r="C26" s="2"/>
      <c r="D26" s="22">
        <f>IFERROR((s_TR/(up_RadSpec!I26*s_EF_ow*s_ED_out*s_IRS_ow*(1/1000)))*1,".")</f>
        <v>7.272727272727274E-8</v>
      </c>
      <c r="E26" s="22">
        <f>IFERROR(IF(A26="H-3",(s_TR/(up_RadSpec!G26*s_EF_ow*s_ED_out*(s_ET_ow_o+s_ET_ow_i)*(1/24)*s_IRA_ow*(1/17)*1000))*1,(s_TR/(up_RadSpec!G26*s_EF_ow*s_ED_out*(s_ET_ow_o+s_ET_ow_i)*(1/24)*s_IRA_ow*(1/s_PEF_wind)*1000))*1),".")</f>
        <v>9.0250320889537203E-5</v>
      </c>
      <c r="F26" s="22">
        <f>IFERROR((s_TR/(up_RadSpec!F26*s_EF_ow*(1/365)*s_ED_out*up_RadSpec!Q26*(s_ET_ow_o+s_ET_ow_i)*(1/24)*up_RadSpec!V26))*1,".")</f>
        <v>2.7899814471243033E-4</v>
      </c>
      <c r="G26" s="22">
        <f t="shared" si="0"/>
        <v>7.2649790820603426E-8</v>
      </c>
      <c r="H26" s="43">
        <f t="shared" si="1"/>
        <v>137.5</v>
      </c>
      <c r="I26" s="43">
        <f t="shared" si="2"/>
        <v>0.11080293013295324</v>
      </c>
      <c r="J26" s="43">
        <f>s_C*s_EF_ow*(1/365)*s_ED_out*(s_ET_ow_o+s_ET_ow_i)*(1/24)*up_RadSpec!V26*up_RadSpec!Q26*1</f>
        <v>3.5842532251629221E-2</v>
      </c>
      <c r="K26" s="4"/>
      <c r="L26" s="4"/>
      <c r="M26" s="4"/>
      <c r="N26" s="4"/>
      <c r="O26" s="22">
        <f>IFERROR((s_TR/(up_RadSpec!F26*s_EF_ow*(1/365)*s_ED_out*up_RadSpec!Q26*(s_ET_ow_o+s_ET_ow_i)*(1/24)*up_RadSpec!V26))*1,".")</f>
        <v>2.7899814471243033E-4</v>
      </c>
      <c r="P26" s="22">
        <f>IFERROR((s_TR/(up_RadSpec!M26*s_EF_ow*(1/365)*s_ED_out*up_RadSpec!R26*(s_ET_ow_o+s_ET_ow_i)*(1/24)*up_RadSpec!W26))*1,".")</f>
        <v>5.0938165204298855E-4</v>
      </c>
      <c r="Q26" s="22">
        <f>IFERROR((s_TR/(up_RadSpec!N26*s_EF_ow*(1/365)*s_ED_out*up_RadSpec!S26*(s_ET_ow_o+s_ET_ow_i)*(1/24)*up_RadSpec!X26))*1,".")</f>
        <v>3.681714832535885E-4</v>
      </c>
      <c r="R26" s="22">
        <f>IFERROR((s_TR/(up_RadSpec!O26*s_EF_ow*(1/365)*s_ED_out*up_RadSpec!T26*(s_ET_ow_o+s_ET_ow_i)*(1/24)*up_RadSpec!Y26))*1,".")</f>
        <v>3.149256198347106E-4</v>
      </c>
      <c r="S26" s="22">
        <f>IFERROR((s_TR/(up_RadSpec!K26*s_EF_ow*(1/365)*s_ED_out*up_RadSpec!P26*(s_ET_ow_o+s_ET_ow_i)*(1/24)*up_RadSpec!U26))*1,".")</f>
        <v>2.9689496050264632E-3</v>
      </c>
      <c r="T26" s="43">
        <f>s_C*s_EF_ow*(1/365)*s_ED_out*(s_ET_ow_o+s_ET_ow_i)*(1/24)*up_RadSpec!V26*up_RadSpec!Q26*1</f>
        <v>3.5842532251629221E-2</v>
      </c>
      <c r="U26" s="43">
        <f>s_C*s_EF_ow*(1/365)*s_ED_out*(s_ET_ow_o+s_ET_ow_i)*(1/24)*up_RadSpec!W26*up_RadSpec!R26*1</f>
        <v>1.9631645466405737E-2</v>
      </c>
      <c r="V26" s="43">
        <f>s_C*s_EF_ow*(1/365)*s_ED_out*(s_ET_ow_o+s_ET_ow_i)*(1/24)*up_RadSpec!X26*up_RadSpec!S26*1</f>
        <v>2.7161256248388527E-2</v>
      </c>
      <c r="W26" s="43">
        <f>s_C*s_EF_ow*(1/365)*s_ED_out*(s_ET_ow_o+s_ET_ow_i)*(1/24)*up_RadSpec!Y26*up_RadSpec!T26*1</f>
        <v>3.1753529627880146E-2</v>
      </c>
      <c r="X26" s="43">
        <f>s_C*s_EF_ow*(1/365)*s_ED_out*(s_ET_ow_o+s_ET_ow_i)*(1/24)*up_RadSpec!U26*up_RadSpec!P26*1</f>
        <v>3.3681945907973296E-3</v>
      </c>
      <c r="Y26" s="11"/>
      <c r="Z26" s="11"/>
      <c r="AA26" s="11"/>
      <c r="AB26" s="11"/>
      <c r="AC26" s="11"/>
      <c r="AD26" s="22">
        <f>IFERROR(s_TR/(up_RadSpec!G26*s_EF_ow*s_ED_out*(s_ET_ow_o+s_ET_ow_i)*(1/24)*s_IRA_ow),".")</f>
        <v>2.9090909090909094E-10</v>
      </c>
      <c r="AE26" s="22">
        <f>IFERROR(s_TR/(up_RadSpec!J26*s_EF_ow*(1/365)*s_ED_out*(s_ET_ow_o+s_ET_ow_i)*(1/24)*s_GSF_a),".")</f>
        <v>6.3709090909090908E-6</v>
      </c>
      <c r="AF26" s="22">
        <f t="shared" si="6"/>
        <v>2.9089580799548386E-10</v>
      </c>
      <c r="AG26" s="43">
        <f t="shared" si="4"/>
        <v>34375</v>
      </c>
      <c r="AH26" s="43">
        <f t="shared" si="5"/>
        <v>1.5696347031963471</v>
      </c>
      <c r="AI26" s="10"/>
      <c r="AJ26" s="10"/>
      <c r="AK26" s="10"/>
    </row>
    <row r="27" spans="1:37" x14ac:dyDescent="0.25">
      <c r="A27" s="23" t="s">
        <v>37</v>
      </c>
      <c r="B27" s="24" t="s">
        <v>289</v>
      </c>
      <c r="C27" s="109"/>
      <c r="D27" s="22">
        <f>IFERROR((s_TR/(up_RadSpec!I27*s_EF_ow*s_ED_out*s_IRS_ow*(1/1000)))*1,".")</f>
        <v>7.272727272727274E-8</v>
      </c>
      <c r="E27" s="22">
        <f>IFERROR(IF(A27="H-3",(s_TR/(up_RadSpec!G27*s_EF_ow*s_ED_out*(s_ET_ow_o+s_ET_ow_i)*(1/24)*s_IRA_ow*(1/17)*1000))*1,(s_TR/(up_RadSpec!G27*s_EF_ow*s_ED_out*(s_ET_ow_o+s_ET_ow_i)*(1/24)*s_IRA_ow*(1/s_PEF_wind)*1000))*1),".")</f>
        <v>9.0250320889537203E-5</v>
      </c>
      <c r="F27" s="22">
        <f>IFERROR((s_TR/(up_RadSpec!F27*s_EF_ow*(1/365)*s_ED_out*up_RadSpec!Q27*(s_ET_ow_o+s_ET_ow_i)*(1/24)*up_RadSpec!V27))*1,".")</f>
        <v>5.8783443727764475E-5</v>
      </c>
      <c r="G27" s="22">
        <f t="shared" si="0"/>
        <v>7.25789904942956E-8</v>
      </c>
      <c r="H27" s="43">
        <f t="shared" si="1"/>
        <v>137.5</v>
      </c>
      <c r="I27" s="43">
        <f t="shared" si="2"/>
        <v>0.11080293013295324</v>
      </c>
      <c r="J27" s="43">
        <f>s_C*s_EF_ow*(1/365)*s_ED_out*(s_ET_ow_o+s_ET_ow_i)*(1/24)*up_RadSpec!V27*up_RadSpec!Q27*1</f>
        <v>0.17011592662572816</v>
      </c>
      <c r="K27" s="4"/>
      <c r="L27" s="4"/>
      <c r="M27" s="4"/>
      <c r="N27" s="4"/>
      <c r="O27" s="22">
        <f>IFERROR((s_TR/(up_RadSpec!F27*s_EF_ow*(1/365)*s_ED_out*up_RadSpec!Q27*(s_ET_ow_o+s_ET_ow_i)*(1/24)*up_RadSpec!V27))*1,".")</f>
        <v>5.8783443727764475E-5</v>
      </c>
      <c r="P27" s="22">
        <f>IFERROR((s_TR/(up_RadSpec!M27*s_EF_ow*(1/365)*s_ED_out*up_RadSpec!R27*(s_ET_ow_o+s_ET_ow_i)*(1/24)*up_RadSpec!W27))*1,".")</f>
        <v>1.7436172248803838E-4</v>
      </c>
      <c r="Q27" s="22">
        <f>IFERROR((s_TR/(up_RadSpec!N27*s_EF_ow*(1/365)*s_ED_out*up_RadSpec!S27*(s_ET_ow_o+s_ET_ow_i)*(1/24)*up_RadSpec!X27))*1,".")</f>
        <v>1.0689684726048363E-4</v>
      </c>
      <c r="R27" s="22">
        <f>IFERROR((s_TR/(up_RadSpec!O27*s_EF_ow*(1/365)*s_ED_out*up_RadSpec!T27*(s_ET_ow_o+s_ET_ow_i)*(1/24)*up_RadSpec!Y27))*1,".")</f>
        <v>7.7763326697633295E-5</v>
      </c>
      <c r="S27" s="22">
        <f>IFERROR((s_TR/(up_RadSpec!K27*s_EF_ow*(1/365)*s_ED_out*up_RadSpec!P27*(s_ET_ow_o+s_ET_ow_i)*(1/24)*up_RadSpec!U27))*1,".")</f>
        <v>5.4540040604556764E-4</v>
      </c>
      <c r="T27" s="43">
        <f>s_C*s_EF_ow*(1/365)*s_ED_out*(s_ET_ow_o+s_ET_ow_i)*(1/24)*up_RadSpec!V27*up_RadSpec!Q27*1</f>
        <v>0.17011592662572816</v>
      </c>
      <c r="U27" s="43">
        <f>s_C*s_EF_ow*(1/365)*s_ED_out*(s_ET_ow_o+s_ET_ow_i)*(1/24)*up_RadSpec!W27*up_RadSpec!R27*1</f>
        <v>5.7352037232174198E-2</v>
      </c>
      <c r="V27" s="43">
        <f>s_C*s_EF_ow*(1/365)*s_ED_out*(s_ET_ow_o+s_ET_ow_i)*(1/24)*up_RadSpec!X27*up_RadSpec!S27*1</f>
        <v>9.35481284647455E-2</v>
      </c>
      <c r="W27" s="43">
        <f>s_C*s_EF_ow*(1/365)*s_ED_out*(s_ET_ow_o+s_ET_ow_i)*(1/24)*up_RadSpec!Y27*up_RadSpec!T27*1</f>
        <v>0.12859532153096981</v>
      </c>
      <c r="X27" s="43">
        <f>s_C*s_EF_ow*(1/365)*s_ED_out*(s_ET_ow_o+s_ET_ow_i)*(1/24)*up_RadSpec!U27*up_RadSpec!P27*1</f>
        <v>1.8335153199655875E-2</v>
      </c>
      <c r="Y27" s="11"/>
      <c r="Z27" s="11"/>
      <c r="AA27" s="11"/>
      <c r="AB27" s="11"/>
      <c r="AC27" s="11"/>
      <c r="AD27" s="22">
        <f>IFERROR(s_TR/(up_RadSpec!G27*s_EF_ow*s_ED_out*(s_ET_ow_o+s_ET_ow_i)*(1/24)*s_IRA_ow),".")</f>
        <v>2.9090909090909094E-10</v>
      </c>
      <c r="AE27" s="22">
        <f>IFERROR(s_TR/(up_RadSpec!J27*s_EF_ow*(1/365)*s_ED_out*(s_ET_ow_o+s_ET_ow_i)*(1/24)*s_GSF_a),".")</f>
        <v>6.3709090909090908E-6</v>
      </c>
      <c r="AF27" s="22">
        <f t="shared" si="6"/>
        <v>2.9089580799548386E-10</v>
      </c>
      <c r="AG27" s="43">
        <f t="shared" si="4"/>
        <v>34375</v>
      </c>
      <c r="AH27" s="43">
        <f t="shared" si="5"/>
        <v>1.5696347031963471</v>
      </c>
      <c r="AI27" s="10"/>
      <c r="AJ27" s="10"/>
      <c r="AK27" s="10"/>
    </row>
    <row r="28" spans="1:37" x14ac:dyDescent="0.25">
      <c r="A28" s="23" t="s">
        <v>38</v>
      </c>
      <c r="B28" s="24" t="s">
        <v>289</v>
      </c>
      <c r="C28" s="2"/>
      <c r="D28" s="22">
        <f>IFERROR((s_TR/(up_RadSpec!I28*s_EF_ow*s_ED_out*s_IRS_ow*(1/1000)))*1,".")</f>
        <v>7.272727272727274E-8</v>
      </c>
      <c r="E28" s="22">
        <f>IFERROR(IF(A28="H-3",(s_TR/(up_RadSpec!G28*s_EF_ow*s_ED_out*(s_ET_ow_o+s_ET_ow_i)*(1/24)*s_IRA_ow*(1/17)*1000))*1,(s_TR/(up_RadSpec!G28*s_EF_ow*s_ED_out*(s_ET_ow_o+s_ET_ow_i)*(1/24)*s_IRA_ow*(1/s_PEF_wind)*1000))*1),".")</f>
        <v>9.0250320889537203E-5</v>
      </c>
      <c r="F28" s="22">
        <f>IFERROR((s_TR/(up_RadSpec!F28*s_EF_ow*(1/365)*s_ED_out*up_RadSpec!Q28*(s_ET_ow_o+s_ET_ow_i)*(1/24)*up_RadSpec!V28))*1,".")</f>
        <v>2.6012204356153403E-5</v>
      </c>
      <c r="G28" s="22">
        <f t="shared" si="0"/>
        <v>7.246626879998895E-8</v>
      </c>
      <c r="H28" s="43">
        <f t="shared" si="1"/>
        <v>137.5</v>
      </c>
      <c r="I28" s="43">
        <f t="shared" si="2"/>
        <v>0.11080293013295324</v>
      </c>
      <c r="J28" s="43">
        <f>s_C*s_EF_ow*(1/365)*s_ED_out*(s_ET_ow_o+s_ET_ow_i)*(1/24)*up_RadSpec!V28*up_RadSpec!Q28*1</f>
        <v>0.38443493150684932</v>
      </c>
      <c r="K28" s="4"/>
      <c r="L28" s="4"/>
      <c r="M28" s="4"/>
      <c r="N28" s="4"/>
      <c r="O28" s="22">
        <f>IFERROR((s_TR/(up_RadSpec!F28*s_EF_ow*(1/365)*s_ED_out*up_RadSpec!Q28*(s_ET_ow_o+s_ET_ow_i)*(1/24)*up_RadSpec!V28))*1,".")</f>
        <v>2.6012204356153403E-5</v>
      </c>
      <c r="P28" s="22">
        <f>IFERROR((s_TR/(up_RadSpec!M28*s_EF_ow*(1/365)*s_ED_out*up_RadSpec!R28*(s_ET_ow_o+s_ET_ow_i)*(1/24)*up_RadSpec!W28))*1,".")</f>
        <v>5.8003581393411916E-5</v>
      </c>
      <c r="Q28" s="22">
        <f>IFERROR((s_TR/(up_RadSpec!N28*s_EF_ow*(1/365)*s_ED_out*up_RadSpec!S28*(s_ET_ow_o+s_ET_ow_i)*(1/24)*up_RadSpec!X28))*1,".")</f>
        <v>4.0271233191587162E-5</v>
      </c>
      <c r="R28" s="22">
        <f>IFERROR((s_TR/(up_RadSpec!O28*s_EF_ow*(1/365)*s_ED_out*up_RadSpec!T28*(s_ET_ow_o+s_ET_ow_i)*(1/24)*up_RadSpec!Y28))*1,".")</f>
        <v>3.4866947137369667E-5</v>
      </c>
      <c r="S28" s="22">
        <f>IFERROR((s_TR/(up_RadSpec!K28*s_EF_ow*(1/365)*s_ED_out*up_RadSpec!P28*(s_ET_ow_o+s_ET_ow_i)*(1/24)*up_RadSpec!U28))*1,".")</f>
        <v>1.0196825396825402E-4</v>
      </c>
      <c r="T28" s="43">
        <f>s_C*s_EF_ow*(1/365)*s_ED_out*(s_ET_ow_o+s_ET_ow_i)*(1/24)*up_RadSpec!V28*up_RadSpec!Q28*1</f>
        <v>0.38443493150684932</v>
      </c>
      <c r="U28" s="43">
        <f>s_C*s_EF_ow*(1/365)*s_ED_out*(s_ET_ow_o+s_ET_ow_i)*(1/24)*up_RadSpec!W28*up_RadSpec!R28*1</f>
        <v>0.17240314752591826</v>
      </c>
      <c r="V28" s="43">
        <f>s_C*s_EF_ow*(1/365)*s_ED_out*(s_ET_ow_o+s_ET_ow_i)*(1/24)*up_RadSpec!X28*up_RadSpec!S28*1</f>
        <v>0.24831621004566223</v>
      </c>
      <c r="W28" s="43">
        <f>s_C*s_EF_ow*(1/365)*s_ED_out*(s_ET_ow_o+s_ET_ow_i)*(1/24)*up_RadSpec!Y28*up_RadSpec!T28*1</f>
        <v>0.286804576282568</v>
      </c>
      <c r="X28" s="43">
        <f>s_C*s_EF_ow*(1/365)*s_ED_out*(s_ET_ow_o+s_ET_ow_i)*(1/24)*up_RadSpec!U28*up_RadSpec!P28*1</f>
        <v>9.8069738480697347E-2</v>
      </c>
      <c r="Y28" s="11"/>
      <c r="Z28" s="11"/>
      <c r="AA28" s="11"/>
      <c r="AB28" s="11"/>
      <c r="AC28" s="11"/>
      <c r="AD28" s="22">
        <f>IFERROR(s_TR/(up_RadSpec!G28*s_EF_ow*s_ED_out*(s_ET_ow_o+s_ET_ow_i)*(1/24)*s_IRA_ow),".")</f>
        <v>2.9090909090909094E-10</v>
      </c>
      <c r="AE28" s="22">
        <f>IFERROR(s_TR/(up_RadSpec!J28*s_EF_ow*(1/365)*s_ED_out*(s_ET_ow_o+s_ET_ow_i)*(1/24)*s_GSF_a),".")</f>
        <v>6.3709090909090908E-6</v>
      </c>
      <c r="AF28" s="22">
        <f t="shared" si="6"/>
        <v>2.9089580799548386E-10</v>
      </c>
      <c r="AG28" s="43">
        <f t="shared" si="4"/>
        <v>34375</v>
      </c>
      <c r="AH28" s="43">
        <f t="shared" si="5"/>
        <v>1.5696347031963471</v>
      </c>
      <c r="AI28" s="10"/>
      <c r="AJ28" s="10"/>
      <c r="AK28" s="10"/>
    </row>
    <row r="29" spans="1:37" x14ac:dyDescent="0.25">
      <c r="A29" s="23" t="s">
        <v>39</v>
      </c>
      <c r="B29" s="24" t="s">
        <v>289</v>
      </c>
      <c r="C29" s="109"/>
      <c r="D29" s="22">
        <f>IFERROR((s_TR/(up_RadSpec!I29*s_EF_ow*s_ED_out*s_IRS_ow*(1/1000)))*1,".")</f>
        <v>7.272727272727274E-8</v>
      </c>
      <c r="E29" s="22">
        <f>IFERROR(IF(A29="H-3",(s_TR/(up_RadSpec!G29*s_EF_ow*s_ED_out*(s_ET_ow_o+s_ET_ow_i)*(1/24)*s_IRA_ow*(1/17)*1000))*1,(s_TR/(up_RadSpec!G29*s_EF_ow*s_ED_out*(s_ET_ow_o+s_ET_ow_i)*(1/24)*s_IRA_ow*(1/s_PEF_wind)*1000))*1),".")</f>
        <v>9.0250320889537203E-5</v>
      </c>
      <c r="F29" s="22">
        <f>IFERROR((s_TR/(up_RadSpec!F29*s_EF_ow*(1/365)*s_ED_out*up_RadSpec!Q29*(s_ET_ow_o+s_ET_ow_i)*(1/24)*up_RadSpec!V29))*1,".")</f>
        <v>2.8286140089418798E-5</v>
      </c>
      <c r="G29" s="22">
        <f t="shared" si="0"/>
        <v>7.2482501711314093E-8</v>
      </c>
      <c r="H29" s="43">
        <f t="shared" si="1"/>
        <v>137.5</v>
      </c>
      <c r="I29" s="43">
        <f t="shared" si="2"/>
        <v>0.11080293013295324</v>
      </c>
      <c r="J29" s="43">
        <f>s_C*s_EF_ow*(1/365)*s_ED_out*(s_ET_ow_o+s_ET_ow_i)*(1/24)*up_RadSpec!V29*up_RadSpec!Q29*1</f>
        <v>0.35353003161222324</v>
      </c>
      <c r="K29" s="4"/>
      <c r="L29" s="4"/>
      <c r="M29" s="4"/>
      <c r="N29" s="4"/>
      <c r="O29" s="22">
        <f>IFERROR((s_TR/(up_RadSpec!F29*s_EF_ow*(1/365)*s_ED_out*up_RadSpec!Q29*(s_ET_ow_o+s_ET_ow_i)*(1/24)*up_RadSpec!V29))*1,".")</f>
        <v>2.8286140089418798E-5</v>
      </c>
      <c r="P29" s="22">
        <f>IFERROR((s_TR/(up_RadSpec!M29*s_EF_ow*(1/365)*s_ED_out*up_RadSpec!R29*(s_ET_ow_o+s_ET_ow_i)*(1/24)*up_RadSpec!W29))*1,".")</f>
        <v>5.6444019138755966E-5</v>
      </c>
      <c r="Q29" s="22">
        <f>IFERROR((s_TR/(up_RadSpec!N29*s_EF_ow*(1/365)*s_ED_out*up_RadSpec!S29*(s_ET_ow_o+s_ET_ow_i)*(1/24)*up_RadSpec!X29))*1,".")</f>
        <v>4.0210479175996424E-5</v>
      </c>
      <c r="R29" s="22">
        <f>IFERROR((s_TR/(up_RadSpec!O29*s_EF_ow*(1/365)*s_ED_out*up_RadSpec!T29*(s_ET_ow_o+s_ET_ow_i)*(1/24)*up_RadSpec!Y29))*1,".")</f>
        <v>3.4108867132867117E-5</v>
      </c>
      <c r="S29" s="22">
        <f>IFERROR((s_TR/(up_RadSpec!K29*s_EF_ow*(1/365)*s_ED_out*up_RadSpec!P29*(s_ET_ow_o+s_ET_ow_i)*(1/24)*up_RadSpec!U29))*1,".")</f>
        <v>1.0135537190082645E-4</v>
      </c>
      <c r="T29" s="43">
        <f>s_C*s_EF_ow*(1/365)*s_ED_out*(s_ET_ow_o+s_ET_ow_i)*(1/24)*up_RadSpec!V29*up_RadSpec!Q29*1</f>
        <v>0.35353003161222324</v>
      </c>
      <c r="U29" s="43">
        <f>s_C*s_EF_ow*(1/365)*s_ED_out*(s_ET_ow_o+s_ET_ow_i)*(1/24)*up_RadSpec!W29*up_RadSpec!R29*1</f>
        <v>0.17716668927166698</v>
      </c>
      <c r="V29" s="43">
        <f>s_C*s_EF_ow*(1/365)*s_ED_out*(s_ET_ow_o+s_ET_ow_i)*(1/24)*up_RadSpec!X29*up_RadSpec!S29*1</f>
        <v>0.24869139102349933</v>
      </c>
      <c r="W29" s="43">
        <f>s_C*s_EF_ow*(1/365)*s_ED_out*(s_ET_ow_o+s_ET_ow_i)*(1/24)*up_RadSpec!Y29*up_RadSpec!T29*1</f>
        <v>0.2931788957119616</v>
      </c>
      <c r="X29" s="43">
        <f>s_C*s_EF_ow*(1/365)*s_ED_out*(s_ET_ow_o+s_ET_ow_i)*(1/24)*up_RadSpec!U29*up_RadSpec!P29*1</f>
        <v>9.8662752772341808E-2</v>
      </c>
      <c r="Y29" s="11"/>
      <c r="Z29" s="11"/>
      <c r="AA29" s="11"/>
      <c r="AB29" s="11"/>
      <c r="AC29" s="11"/>
      <c r="AD29" s="22">
        <f>IFERROR(s_TR/(up_RadSpec!G29*s_EF_ow*s_ED_out*(s_ET_ow_o+s_ET_ow_i)*(1/24)*s_IRA_ow),".")</f>
        <v>2.9090909090909094E-10</v>
      </c>
      <c r="AE29" s="22">
        <f>IFERROR(s_TR/(up_RadSpec!J29*s_EF_ow*(1/365)*s_ED_out*(s_ET_ow_o+s_ET_ow_i)*(1/24)*s_GSF_a),".")</f>
        <v>6.3709090909090908E-6</v>
      </c>
      <c r="AF29" s="22">
        <f t="shared" si="6"/>
        <v>2.9089580799548386E-10</v>
      </c>
      <c r="AG29" s="43">
        <f t="shared" si="4"/>
        <v>34375</v>
      </c>
      <c r="AH29" s="43">
        <f t="shared" si="5"/>
        <v>1.5696347031963471</v>
      </c>
      <c r="AI29" s="10"/>
      <c r="AJ29" s="10"/>
      <c r="AK29" s="10"/>
    </row>
    <row r="30" spans="1:37" x14ac:dyDescent="0.25">
      <c r="A30" s="23" t="s">
        <v>40</v>
      </c>
      <c r="B30" s="24" t="s">
        <v>289</v>
      </c>
      <c r="C30" s="2"/>
      <c r="D30" s="22">
        <f>IFERROR((s_TR/(up_RadSpec!I30*s_EF_ow*s_ED_out*s_IRS_ow*(1/1000)))*1,".")</f>
        <v>7.272727272727274E-8</v>
      </c>
      <c r="E30" s="22">
        <f>IFERROR(IF(A30="H-3",(s_TR/(up_RadSpec!G30*s_EF_ow*s_ED_out*(s_ET_ow_o+s_ET_ow_i)*(1/24)*s_IRA_ow*(1/17)*1000))*1,(s_TR/(up_RadSpec!G30*s_EF_ow*s_ED_out*(s_ET_ow_o+s_ET_ow_i)*(1/24)*s_IRA_ow*(1/s_PEF_wind)*1000))*1),".")</f>
        <v>9.0250320889537203E-5</v>
      </c>
      <c r="F30" s="22">
        <f>IFERROR((s_TR/(up_RadSpec!F30*s_EF_ow*(1/365)*s_ED_out*up_RadSpec!Q30*(s_ET_ow_o+s_ET_ow_i)*(1/24)*up_RadSpec!V30))*1,".")</f>
        <v>2.6545454545454545E-4</v>
      </c>
      <c r="G30" s="22">
        <f t="shared" si="0"/>
        <v>7.2648825646679828E-8</v>
      </c>
      <c r="H30" s="43">
        <f t="shared" si="1"/>
        <v>137.5</v>
      </c>
      <c r="I30" s="43">
        <f t="shared" si="2"/>
        <v>0.11080293013295324</v>
      </c>
      <c r="J30" s="43">
        <f>s_C*s_EF_ow*(1/365)*s_ED_out*(s_ET_ow_o+s_ET_ow_i)*(1/24)*up_RadSpec!V30*up_RadSpec!Q30*1</f>
        <v>3.7671232876712334E-2</v>
      </c>
      <c r="K30" s="4"/>
      <c r="L30" s="4"/>
      <c r="M30" s="4"/>
      <c r="N30" s="4"/>
      <c r="O30" s="22">
        <f>IFERROR((s_TR/(up_RadSpec!F30*s_EF_ow*(1/365)*s_ED_out*up_RadSpec!Q30*(s_ET_ow_o+s_ET_ow_i)*(1/24)*up_RadSpec!V30))*1,".")</f>
        <v>2.6545454545454545E-4</v>
      </c>
      <c r="P30" s="22">
        <f>IFERROR((s_TR/(up_RadSpec!M30*s_EF_ow*(1/365)*s_ED_out*up_RadSpec!R30*(s_ET_ow_o+s_ET_ow_i)*(1/24)*up_RadSpec!W30))*1,".")</f>
        <v>1.3004536082474227E-3</v>
      </c>
      <c r="Q30" s="22">
        <f>IFERROR((s_TR/(up_RadSpec!N30*s_EF_ow*(1/365)*s_ED_out*up_RadSpec!S30*(s_ET_ow_o+s_ET_ow_i)*(1/24)*up_RadSpec!X30))*1,".")</f>
        <v>4.6863931523022427E-4</v>
      </c>
      <c r="R30" s="22">
        <f>IFERROR((s_TR/(up_RadSpec!O30*s_EF_ow*(1/365)*s_ED_out*up_RadSpec!T30*(s_ET_ow_o+s_ET_ow_i)*(1/24)*up_RadSpec!Y30))*1,".")</f>
        <v>3.4883160981632989E-4</v>
      </c>
      <c r="S30" s="22">
        <f>IFERROR((s_TR/(up_RadSpec!K30*s_EF_ow*(1/365)*s_ED_out*up_RadSpec!P30*(s_ET_ow_o+s_ET_ow_i)*(1/24)*up_RadSpec!U30))*1,".")</f>
        <v>3.1854545454545455E-2</v>
      </c>
      <c r="T30" s="43">
        <f>s_C*s_EF_ow*(1/365)*s_ED_out*(s_ET_ow_o+s_ET_ow_i)*(1/24)*up_RadSpec!V30*up_RadSpec!Q30*1</f>
        <v>3.7671232876712334E-2</v>
      </c>
      <c r="U30" s="43">
        <f>s_C*s_EF_ow*(1/365)*s_ED_out*(s_ET_ow_o+s_ET_ow_i)*(1/24)*up_RadSpec!W30*up_RadSpec!R30*1</f>
        <v>7.6896245560629153E-3</v>
      </c>
      <c r="V30" s="43">
        <f>s_C*s_EF_ow*(1/365)*s_ED_out*(s_ET_ow_o+s_ET_ow_i)*(1/24)*up_RadSpec!X30*up_RadSpec!S30*1</f>
        <v>2.1338371909935452E-2</v>
      </c>
      <c r="W30" s="43">
        <f>s_C*s_EF_ow*(1/365)*s_ED_out*(s_ET_ow_o+s_ET_ow_i)*(1/24)*up_RadSpec!Y30*up_RadSpec!T30*1</f>
        <v>2.8667126827368931E-2</v>
      </c>
      <c r="X30" s="43">
        <f>s_C*s_EF_ow*(1/365)*s_ED_out*(s_ET_ow_o+s_ET_ow_i)*(1/24)*up_RadSpec!U30*up_RadSpec!P30*1</f>
        <v>3.1392694063926945E-4</v>
      </c>
      <c r="Y30" s="11"/>
      <c r="Z30" s="11"/>
      <c r="AA30" s="11"/>
      <c r="AB30" s="11"/>
      <c r="AC30" s="11"/>
      <c r="AD30" s="22">
        <f>IFERROR(s_TR/(up_RadSpec!G30*s_EF_ow*s_ED_out*(s_ET_ow_o+s_ET_ow_i)*(1/24)*s_IRA_ow),".")</f>
        <v>2.9090909090909094E-10</v>
      </c>
      <c r="AE30" s="22">
        <f>IFERROR(s_TR/(up_RadSpec!J30*s_EF_ow*(1/365)*s_ED_out*(s_ET_ow_o+s_ET_ow_i)*(1/24)*s_GSF_a),".")</f>
        <v>6.3709090909090908E-6</v>
      </c>
      <c r="AF30" s="22">
        <f t="shared" si="6"/>
        <v>2.9089580799548386E-10</v>
      </c>
      <c r="AG30" s="43">
        <f t="shared" si="4"/>
        <v>34375</v>
      </c>
      <c r="AH30" s="43">
        <f t="shared" si="5"/>
        <v>1.5696347031963471</v>
      </c>
      <c r="AI30" s="10"/>
      <c r="AJ30" s="10"/>
      <c r="AK30" s="10"/>
    </row>
    <row r="31" spans="1:37" x14ac:dyDescent="0.25">
      <c r="A31" s="26" t="s">
        <v>13</v>
      </c>
      <c r="B31" s="26" t="s">
        <v>289</v>
      </c>
      <c r="C31" s="110"/>
      <c r="D31" s="27">
        <f>1/SUM(1/D32,1/D33,1/D34,1/D35,1/D36,1/D37,1/D38,1/D39,1/D40,1/D41,1/D42,1/D43,1/D44)</f>
        <v>6.0607878842425897E-9</v>
      </c>
      <c r="E31" s="27">
        <f t="shared" ref="E31:G31" si="7">1/SUM(1/E32,1/E33,1/E34,1/E35,1/E36,1/E37,1/E38,1/E39,1/E40,1/E41,1/E42,1/E43,1/E44)</f>
        <v>7.5210857066993023E-6</v>
      </c>
      <c r="F31" s="27">
        <f>1/SUM(1/F32,1/F33,1/F34,1/F35,1/F36,1/F37,1/F38,1/F39,1/F40,1/F41,1/F42,1/F43)</f>
        <v>1.0793276001335158E-5</v>
      </c>
      <c r="G31" s="28">
        <f t="shared" si="7"/>
        <v>6.0525118419879811E-9</v>
      </c>
      <c r="H31" s="45"/>
      <c r="I31" s="45"/>
      <c r="J31" s="45"/>
      <c r="K31" s="46">
        <f>IFERROR(IF(SUM(H32:H44)&gt;0.01,1-EXP(-SUM(H32:H44)),SUM(H32:H44)),".")</f>
        <v>1</v>
      </c>
      <c r="L31" s="46">
        <f>IFERROR(IF(SUM(I32:I44)&gt;0.01,1-EXP(-SUM(I32:I44)),SUM(I32:I44)),".")</f>
        <v>0.99870335661177012</v>
      </c>
      <c r="M31" s="46">
        <f>IFERROR(IF(SUM(J32:J44)&gt;0.01,1-EXP(-SUM(J32:J44)),SUM(J32:J44)),".")</f>
        <v>0.99026973159471821</v>
      </c>
      <c r="N31" s="46">
        <f>IFERROR(IF(SUM(H32:J44)&gt;0.01,1-EXP(-SUM(H32:J44)),SUM(H32:J44)),".")</f>
        <v>1</v>
      </c>
      <c r="O31" s="27">
        <f t="shared" ref="O31:S31" si="8">1/SUM(1/O32,1/O33,1/O34,1/O35,1/O36,1/O37,1/O38,1/O39,1/O40,1/O41,1/O42,1/O43)</f>
        <v>1.0793276001335158E-5</v>
      </c>
      <c r="P31" s="27">
        <f t="shared" si="8"/>
        <v>1.9946413406993451E-5</v>
      </c>
      <c r="Q31" s="27">
        <f t="shared" si="8"/>
        <v>1.4093181289924032E-5</v>
      </c>
      <c r="R31" s="27">
        <f t="shared" si="8"/>
        <v>1.2243001143509865E-5</v>
      </c>
      <c r="S31" s="27">
        <f t="shared" si="8"/>
        <v>4.2138527700560429E-5</v>
      </c>
      <c r="T31" s="45"/>
      <c r="U31" s="37"/>
      <c r="V31" s="37"/>
      <c r="W31" s="37"/>
      <c r="X31" s="37"/>
      <c r="Y31" s="46">
        <f>IFERROR(IF(SUM(T32:T44)&gt;0.01,1-EXP(-SUM(T32:T44)),SUM(T32:T44)),".")</f>
        <v>0.99026973159471821</v>
      </c>
      <c r="Z31" s="46">
        <f t="shared" ref="Z31:AC31" si="9">IFERROR(IF(SUM(U32:U44)&gt;0.01,1-EXP(-SUM(U32:U44)),SUM(U32:U44)),".")</f>
        <v>0.91846446319548081</v>
      </c>
      <c r="AA31" s="46">
        <f t="shared" si="9"/>
        <v>0.97121252843391126</v>
      </c>
      <c r="AB31" s="46">
        <f t="shared" si="9"/>
        <v>0.98315945600031318</v>
      </c>
      <c r="AC31" s="46">
        <f t="shared" si="9"/>
        <v>0.69473119924117654</v>
      </c>
      <c r="AD31" s="27">
        <f t="shared" ref="AD31:AF31" si="10">1/SUM(1/AD32,1/AD33,1/AD34,1/AD35,1/AD36,1/AD37,1/AD38,1/AD39,1/AD40,1/AD41,1/AD42,1/AD43,1/AD44)</f>
        <v>2.4243151536970355E-11</v>
      </c>
      <c r="AE31" s="27">
        <f t="shared" si="10"/>
        <v>5.3092501865965061E-7</v>
      </c>
      <c r="AF31" s="28">
        <f t="shared" si="10"/>
        <v>2.4242044594294818E-11</v>
      </c>
      <c r="AG31" s="45"/>
      <c r="AH31" s="45"/>
      <c r="AI31" s="46">
        <f>IFERROR(IF(SUM(AG32:AG44)&gt;0.01,1-EXP(-SUM(AG32:AG44)),SUM(AG32:AG44)),".")</f>
        <v>1</v>
      </c>
      <c r="AJ31" s="46">
        <f>IFERROR(IF(SUM(AH32:AH44)&gt;0.01,1-EXP(-SUM(AH32:AH44)),SUM(AH32:AH44)),".")</f>
        <v>1</v>
      </c>
      <c r="AK31" s="46">
        <f>IFERROR(IF(SUM(AG32:AH44)&gt;0.01,1-EXP(-SUM(AG32:AH44)),SUM(AG32:AH44)),".")</f>
        <v>1</v>
      </c>
    </row>
    <row r="32" spans="1:37" x14ac:dyDescent="0.25">
      <c r="A32" s="29" t="s">
        <v>290</v>
      </c>
      <c r="B32" s="24">
        <v>1</v>
      </c>
      <c r="C32" s="2"/>
      <c r="D32" s="30">
        <f>IFERROR(D3/$B32,0)</f>
        <v>7.272727272727274E-8</v>
      </c>
      <c r="E32" s="30">
        <f>IFERROR(E3/$B32,0)</f>
        <v>9.0250320889537203E-5</v>
      </c>
      <c r="F32" s="30">
        <f>IFERROR(F3/$B32,0)</f>
        <v>2.2184415584415595E-2</v>
      </c>
      <c r="G32" s="30">
        <f>IF(AND(D32&lt;&gt;0,E32&lt;&gt;0,F32&lt;&gt;0),1/((1/D32)+(1/E32)+(1/F32)),IF(AND(D32&lt;&gt;0,E32&lt;&gt;0,F32=0), 1/((1/D32)+(1/E32)),IF(AND(D32&lt;&gt;0,E32=0,F32&lt;&gt;0),1/((1/D32)+(1/F32)),IF(AND(D32=0,E32&lt;&gt;0,F32&lt;&gt;0),1/((1/E32)+(1/F32)),IF(AND(D32&lt;&gt;0,E32=0,F32=0),1/((1/D32)),IF(AND(D32=0,E32&lt;&gt;0,F32=0),1/((1/E32)),IF(AND(D32=0,E32=0,F32&lt;&gt;0),1/((1/F32)),IF(AND(D32=0,E32=0,F32=0),0))))))))</f>
        <v>7.2668475370604101E-8</v>
      </c>
      <c r="H32" s="38">
        <f>IFERROR(up_RadSpec!$I$3*H3,".")*$B$32</f>
        <v>687.5</v>
      </c>
      <c r="I32" s="38">
        <f>IFERROR(up_RadSpec!$G$3*I3,".")*$B$32</f>
        <v>0.55401465066476618</v>
      </c>
      <c r="J32" s="38">
        <f>IFERROR(up_RadSpec!$F$3*J3,".")*$B$32</f>
        <v>2.2538344456152666E-3</v>
      </c>
      <c r="K32" s="47">
        <f t="shared" ref="K32:M44" si="11">IFERROR(IF(H32&gt;0.01,1-EXP(-H32),H32),".")</f>
        <v>1</v>
      </c>
      <c r="L32" s="47">
        <f t="shared" si="11"/>
        <v>0.42536179830386023</v>
      </c>
      <c r="M32" s="47">
        <f t="shared" si="11"/>
        <v>2.2538344456152666E-3</v>
      </c>
      <c r="N32" s="47">
        <f>IFERROR(IF(SUM(H32:J32)&gt;0.01,1-EXP(-SUM(H32:J32)),SUM(H32:J32)),".")</f>
        <v>1</v>
      </c>
      <c r="O32" s="30">
        <f t="shared" ref="O32:S32" si="12">IFERROR(O3/$B32,0)</f>
        <v>2.2184415584415595E-2</v>
      </c>
      <c r="P32" s="30">
        <f t="shared" si="12"/>
        <v>3.1106175132324276E-2</v>
      </c>
      <c r="Q32" s="30">
        <f t="shared" si="12"/>
        <v>2.3582923154193879E-2</v>
      </c>
      <c r="R32" s="30">
        <f t="shared" si="12"/>
        <v>2.4309683536802174E-2</v>
      </c>
      <c r="S32" s="30">
        <f t="shared" si="12"/>
        <v>4.8228185429946425E-2</v>
      </c>
      <c r="T32" s="38">
        <f>IFERROR(up_RadSpec!$F$3*T3,".")*$B$32</f>
        <v>2.2538344456152666E-3</v>
      </c>
      <c r="U32" s="38">
        <f>IFERROR(up_RadSpec!$M$3*U3,".")*$B$32</f>
        <v>1.6073978812021167E-3</v>
      </c>
      <c r="V32" s="38">
        <f>IFERROR(up_RadSpec!$N$3*V3,".")*$B$32</f>
        <v>2.120178218496558E-3</v>
      </c>
      <c r="W32" s="38">
        <f>IFERROR(up_RadSpec!$O$3*W3,".")*$B$32</f>
        <v>2.0567935376166265E-3</v>
      </c>
      <c r="X32" s="38">
        <f>IFERROR(up_RadSpec!$K$3*X3,".")*$B$32</f>
        <v>1.036738155380679E-3</v>
      </c>
      <c r="Y32" s="47">
        <f>IFERROR(IF(T32&gt;0.01,1-EXP(-T32),T32),".")</f>
        <v>2.2538344456152666E-3</v>
      </c>
      <c r="Z32" s="47">
        <f t="shared" ref="Z32:AC44" si="13">IFERROR(IF(U32&gt;0.01,1-EXP(-U32),U32),".")</f>
        <v>1.6073978812021167E-3</v>
      </c>
      <c r="AA32" s="47">
        <f t="shared" si="13"/>
        <v>2.120178218496558E-3</v>
      </c>
      <c r="AB32" s="47">
        <f t="shared" si="13"/>
        <v>2.0567935376166265E-3</v>
      </c>
      <c r="AC32" s="47">
        <f t="shared" si="13"/>
        <v>1.036738155380679E-3</v>
      </c>
      <c r="AD32" s="30">
        <f t="shared" ref="AD32:AF32" si="14">IFERROR(AD3/$B32,0)</f>
        <v>2.9090909090909094E-10</v>
      </c>
      <c r="AE32" s="30">
        <f t="shared" si="14"/>
        <v>6.3709090909090908E-6</v>
      </c>
      <c r="AF32" s="30">
        <f t="shared" si="14"/>
        <v>2.9089580799548386E-10</v>
      </c>
      <c r="AG32" s="38">
        <f>IFERROR(up_RadSpec!$G$3*AG3,".")*$B$32</f>
        <v>171875</v>
      </c>
      <c r="AH32" s="38">
        <f>IFERROR(up_RadSpec!$J$3*AH3,".")*$B$32</f>
        <v>7.8481735159817356</v>
      </c>
      <c r="AI32" s="47">
        <f>IFERROR(IF(AG32&gt;0.01,1-EXP(-AG32),AG32),".")</f>
        <v>1</v>
      </c>
      <c r="AJ32" s="47">
        <f>IFERROR(IF(AH32&gt;0.01,1-EXP(-AH32),AH32),".")</f>
        <v>0.99960953550549536</v>
      </c>
      <c r="AK32" s="47">
        <f>IFERROR(IF(SUM(AG32:AH32)&gt;0.01,1-EXP(-SUM(AG32:AH32)),SUM(AG32:AH32)),".")</f>
        <v>1</v>
      </c>
    </row>
    <row r="33" spans="1:37" x14ac:dyDescent="0.25">
      <c r="A33" s="29" t="s">
        <v>291</v>
      </c>
      <c r="B33" s="24">
        <v>1</v>
      </c>
      <c r="C33" s="2"/>
      <c r="D33" s="30">
        <f t="shared" ref="D33:F34" si="15">IFERROR(D13/$B33,0)</f>
        <v>7.272727272727274E-8</v>
      </c>
      <c r="E33" s="30">
        <f t="shared" si="15"/>
        <v>9.0250320889537203E-5</v>
      </c>
      <c r="F33" s="30">
        <f t="shared" si="15"/>
        <v>5.4790618044855369E-4</v>
      </c>
      <c r="G33" s="30">
        <f>IF(AND(D33&lt;&gt;0,E33&lt;&gt;0,F33&lt;&gt;0),1/((1/D33)+(1/E33)+(1/F33)),IF(AND(D33&lt;&gt;0,E33&lt;&gt;0,F33=0), 1/((1/D33)+(1/E33)),IF(AND(D33&lt;&gt;0,E33=0,F33&lt;&gt;0),1/((1/D33)+(1/F33)),IF(AND(D33=0,E33&lt;&gt;0,F33&lt;&gt;0),1/((1/E33)+(1/F33)),IF(AND(D33&lt;&gt;0,E33=0,F33=0),1/((1/D33)),IF(AND(D33=0,E33&lt;&gt;0,F33=0),1/((1/E33)),IF(AND(D33=0,E33=0,F33&lt;&gt;0),1/((1/F33)),IF(AND(D33=0,E33=0,F33=0),0))))))))</f>
        <v>7.2659076645896279E-8</v>
      </c>
      <c r="H33" s="38">
        <f>IFERROR(up_RadSpec!$I$13*H13,".")*$B$33</f>
        <v>687.5</v>
      </c>
      <c r="I33" s="38">
        <f>IFERROR(up_RadSpec!$G$13*I13,".")*$B$33</f>
        <v>0.55401465066476618</v>
      </c>
      <c r="J33" s="38">
        <f>IFERROR(up_RadSpec!$F$13*J13,".")*$B$33</f>
        <v>9.125649935006494E-2</v>
      </c>
      <c r="K33" s="47">
        <f t="shared" si="11"/>
        <v>1</v>
      </c>
      <c r="L33" s="47">
        <f t="shared" si="11"/>
        <v>0.42536179830386023</v>
      </c>
      <c r="M33" s="47">
        <f t="shared" si="11"/>
        <v>8.721644751815294E-2</v>
      </c>
      <c r="N33" s="47">
        <f t="shared" ref="N33:N44" si="16">IFERROR(IF(SUM(H33:J33)&gt;0.01,1-EXP(-SUM(H33:J33)),SUM(H33:J33)),".")</f>
        <v>1</v>
      </c>
      <c r="O33" s="30">
        <f t="shared" ref="O33:S34" si="17">IFERROR(O13/$B33,0)</f>
        <v>5.4790618044855369E-4</v>
      </c>
      <c r="P33" s="30">
        <f t="shared" si="17"/>
        <v>1.1948632373213381E-3</v>
      </c>
      <c r="Q33" s="30">
        <f t="shared" si="17"/>
        <v>7.0985979194934407E-4</v>
      </c>
      <c r="R33" s="30">
        <f t="shared" si="17"/>
        <v>5.8600282168498098E-4</v>
      </c>
      <c r="S33" s="30">
        <f t="shared" si="17"/>
        <v>1.1495129870129867E-2</v>
      </c>
      <c r="T33" s="38">
        <f>IFERROR(up_RadSpec!$F$13*T13,".")*$B$33</f>
        <v>9.125649935006494E-2</v>
      </c>
      <c r="U33" s="38">
        <f>IFERROR(up_RadSpec!$M$13*U13,".")*$B$33</f>
        <v>4.1845793257553679E-2</v>
      </c>
      <c r="V33" s="38">
        <f>IFERROR(up_RadSpec!$N$13*V13,".")*$B$33</f>
        <v>7.0436444727620284E-2</v>
      </c>
      <c r="W33" s="38">
        <f>IFERROR(up_RadSpec!$O$13*W13,".")*$B$33</f>
        <v>8.5323821233882477E-2</v>
      </c>
      <c r="X33" s="38">
        <f>IFERROR(up_RadSpec!$K$13*X13,".")*$B$33</f>
        <v>4.34966812597091E-3</v>
      </c>
      <c r="Y33" s="47">
        <f t="shared" ref="Y33:Y44" si="18">IFERROR(IF(T33&gt;0.01,1-EXP(-T33),T33),".")</f>
        <v>8.721644751815294E-2</v>
      </c>
      <c r="Z33" s="47">
        <f t="shared" si="13"/>
        <v>4.0982343840809898E-2</v>
      </c>
      <c r="AA33" s="47">
        <f t="shared" si="13"/>
        <v>6.8013029670680902E-2</v>
      </c>
      <c r="AB33" s="47">
        <f t="shared" si="13"/>
        <v>8.1785101227324408E-2</v>
      </c>
      <c r="AC33" s="47">
        <f t="shared" si="13"/>
        <v>4.34966812597091E-3</v>
      </c>
      <c r="AD33" s="30">
        <f t="shared" ref="AD33:AF34" si="19">IFERROR(AD13/$B33,0)</f>
        <v>2.9090909090909094E-10</v>
      </c>
      <c r="AE33" s="30">
        <f t="shared" si="19"/>
        <v>6.3709090909090908E-6</v>
      </c>
      <c r="AF33" s="30">
        <f t="shared" si="19"/>
        <v>2.9089580799548386E-10</v>
      </c>
      <c r="AG33" s="38">
        <f>IFERROR(up_RadSpec!$G$13*AG13,".")*$B$33</f>
        <v>171875</v>
      </c>
      <c r="AH33" s="38">
        <f>IFERROR(up_RadSpec!$J$13*AH13,".")*$B$33</f>
        <v>7.8481735159817356</v>
      </c>
      <c r="AI33" s="47">
        <f t="shared" ref="AI33:AJ44" si="20">IFERROR(IF(AG33&gt;0.01,1-EXP(-AG33),AG33),".")</f>
        <v>1</v>
      </c>
      <c r="AJ33" s="47">
        <f t="shared" si="20"/>
        <v>0.99960953550549536</v>
      </c>
      <c r="AK33" s="47">
        <f t="shared" ref="AK33:AK44" si="21">IFERROR(IF(SUM(AG33:AH33)&gt;0.01,1-EXP(-SUM(AG33:AH33)),SUM(AG33:AH33)),".")</f>
        <v>1</v>
      </c>
    </row>
    <row r="34" spans="1:37" x14ac:dyDescent="0.25">
      <c r="A34" s="29" t="s">
        <v>292</v>
      </c>
      <c r="B34" s="24">
        <v>1</v>
      </c>
      <c r="C34" s="2"/>
      <c r="D34" s="30">
        <f t="shared" si="15"/>
        <v>7.272727272727274E-8</v>
      </c>
      <c r="E34" s="30">
        <f t="shared" si="15"/>
        <v>9.0250320889537203E-5</v>
      </c>
      <c r="F34" s="30">
        <f t="shared" si="15"/>
        <v>8.2250179434746663E-5</v>
      </c>
      <c r="G34" s="30">
        <f>IF(AND(D34&lt;&gt;0,E34&lt;&gt;0,F34&lt;&gt;0),1/((1/D34)+(1/E34)+(1/F34)),IF(AND(D34&lt;&gt;0,E34&lt;&gt;0,F34=0), 1/((1/D34)+(1/E34)),IF(AND(D34&lt;&gt;0,E34=0,F34&lt;&gt;0),1/((1/D34)+(1/F34)),IF(AND(D34=0,E34&lt;&gt;0,F34&lt;&gt;0),1/((1/E34)+(1/F34)),IF(AND(D34&lt;&gt;0,E34=0,F34=0),1/((1/D34)),IF(AND(D34=0,E34&lt;&gt;0,F34=0),1/((1/E34)),IF(AND(D34=0,E34=0,F34&lt;&gt;0),1/((1/F34)),IF(AND(D34=0,E34=0,F34=0),0))))))))</f>
        <v>7.2604566673381434E-8</v>
      </c>
      <c r="H34" s="38">
        <f>IFERROR(up_RadSpec!$I$14*H14,".")*$B$34</f>
        <v>687.5</v>
      </c>
      <c r="I34" s="38">
        <f>IFERROR(up_RadSpec!$G$14*I14,".")*$B$33</f>
        <v>0.55401465066476618</v>
      </c>
      <c r="J34" s="38">
        <f>IFERROR(up_RadSpec!$F$14*J14,".")*$B$33</f>
        <v>0.60790140937829329</v>
      </c>
      <c r="K34" s="47">
        <f t="shared" si="11"/>
        <v>1</v>
      </c>
      <c r="L34" s="47">
        <f t="shared" si="11"/>
        <v>0.42536179830386023</v>
      </c>
      <c r="M34" s="47">
        <f t="shared" si="11"/>
        <v>0.45550766256889696</v>
      </c>
      <c r="N34" s="47">
        <f t="shared" si="16"/>
        <v>1</v>
      </c>
      <c r="O34" s="30">
        <f t="shared" si="17"/>
        <v>8.2250179434746663E-5</v>
      </c>
      <c r="P34" s="30">
        <f t="shared" si="17"/>
        <v>1.4937483186060481E-4</v>
      </c>
      <c r="Q34" s="30">
        <f t="shared" si="17"/>
        <v>1.1043933455751371E-4</v>
      </c>
      <c r="R34" s="30">
        <f t="shared" si="17"/>
        <v>9.6777614763226299E-5</v>
      </c>
      <c r="S34" s="30">
        <f t="shared" si="17"/>
        <v>4.1679600886917979E-4</v>
      </c>
      <c r="T34" s="38">
        <f>IFERROR(up_RadSpec!$F$14*T14,".")*$B$33</f>
        <v>0.60790140937829329</v>
      </c>
      <c r="U34" s="38">
        <f>IFERROR(up_RadSpec!$M$14*U14,".")*$B$33</f>
        <v>0.33472841024958977</v>
      </c>
      <c r="V34" s="38">
        <f>IFERROR(up_RadSpec!$N$14*V14,".")*$B$33</f>
        <v>0.45273724439150259</v>
      </c>
      <c r="W34" s="38">
        <f>IFERROR(up_RadSpec!$O$14*W14,".")*$B$33</f>
        <v>0.51664840182648397</v>
      </c>
      <c r="X34" s="38">
        <f>IFERROR(up_RadSpec!$K$14*X14,".")*$B$33</f>
        <v>0.11996276100545283</v>
      </c>
      <c r="Y34" s="47">
        <f t="shared" si="18"/>
        <v>0.45550766256889696</v>
      </c>
      <c r="Z34" s="47">
        <f t="shared" si="13"/>
        <v>0.28446760877069655</v>
      </c>
      <c r="AA34" s="47">
        <f t="shared" si="13"/>
        <v>0.3641148059214776</v>
      </c>
      <c r="AB34" s="47">
        <f t="shared" si="13"/>
        <v>0.40348351512626879</v>
      </c>
      <c r="AC34" s="47">
        <f t="shared" si="13"/>
        <v>0.11304653464256298</v>
      </c>
      <c r="AD34" s="30">
        <f t="shared" si="19"/>
        <v>2.9090909090909094E-10</v>
      </c>
      <c r="AE34" s="30">
        <f t="shared" si="19"/>
        <v>6.3709090909090908E-6</v>
      </c>
      <c r="AF34" s="30">
        <f t="shared" si="19"/>
        <v>2.9089580799548386E-10</v>
      </c>
      <c r="AG34" s="38">
        <f>IFERROR(up_RadSpec!$G$14*AG14,".")*$B$33</f>
        <v>171875</v>
      </c>
      <c r="AH34" s="38">
        <f>IFERROR(up_RadSpec!$J$14*AH14,".")*$B$33</f>
        <v>7.8481735159817356</v>
      </c>
      <c r="AI34" s="47">
        <f t="shared" si="20"/>
        <v>1</v>
      </c>
      <c r="AJ34" s="47">
        <f t="shared" si="20"/>
        <v>0.99960953550549536</v>
      </c>
      <c r="AK34" s="47">
        <f t="shared" si="21"/>
        <v>1</v>
      </c>
    </row>
    <row r="35" spans="1:37" x14ac:dyDescent="0.25">
      <c r="A35" s="29" t="s">
        <v>293</v>
      </c>
      <c r="B35" s="24">
        <v>1</v>
      </c>
      <c r="C35" s="2"/>
      <c r="D35" s="30">
        <f>IFERROR(D30/$B35,0)</f>
        <v>7.272727272727274E-8</v>
      </c>
      <c r="E35" s="30">
        <f>IFERROR(E30/$B35,0)</f>
        <v>9.0250320889537203E-5</v>
      </c>
      <c r="F35" s="30">
        <f>IFERROR(F30/$B35,0)</f>
        <v>2.6545454545454545E-4</v>
      </c>
      <c r="G35" s="30">
        <f t="shared" ref="G35:G61" si="22">IF(AND(D35&lt;&gt;0,E35&lt;&gt;0,F35&lt;&gt;0),1/((1/D35)+(1/E35)+(1/F35)),IF(AND(D35&lt;&gt;0,E35&lt;&gt;0,F35=0), 1/((1/D35)+(1/E35)),IF(AND(D35&lt;&gt;0,E35=0,F35&lt;&gt;0),1/((1/D35)+(1/F35)),IF(AND(D35=0,E35&lt;&gt;0,F35&lt;&gt;0),1/((1/E35)+(1/F35)),IF(AND(D35&lt;&gt;0,E35=0,F35=0),1/((1/D35)),IF(AND(D35=0,E35&lt;&gt;0,F35=0),1/((1/E35)),IF(AND(D35=0,E35=0,F35&lt;&gt;0),1/((1/F35)),IF(AND(D35=0,E35=0,F35=0),0))))))))</f>
        <v>7.2648825646679828E-8</v>
      </c>
      <c r="H35" s="38">
        <f>IFERROR(up_RadSpec!$I$30*H30,".")*$B$35</f>
        <v>687.5</v>
      </c>
      <c r="I35" s="38">
        <f>IFERROR(up_RadSpec!$G$30*I30,".")*$B$35</f>
        <v>0.55401465066476618</v>
      </c>
      <c r="J35" s="38">
        <f>IFERROR(up_RadSpec!$F$30*J30,".")*$B$35</f>
        <v>0.18835616438356168</v>
      </c>
      <c r="K35" s="47">
        <f t="shared" si="11"/>
        <v>1</v>
      </c>
      <c r="L35" s="47">
        <f t="shared" si="11"/>
        <v>0.42536179830386023</v>
      </c>
      <c r="M35" s="47">
        <f t="shared" si="11"/>
        <v>0.17168036326381109</v>
      </c>
      <c r="N35" s="47">
        <f t="shared" si="16"/>
        <v>1</v>
      </c>
      <c r="O35" s="30">
        <f t="shared" ref="O35:S35" si="23">IFERROR(O30/$B35,0)</f>
        <v>2.6545454545454545E-4</v>
      </c>
      <c r="P35" s="30">
        <f t="shared" si="23"/>
        <v>1.3004536082474227E-3</v>
      </c>
      <c r="Q35" s="30">
        <f t="shared" si="23"/>
        <v>4.6863931523022427E-4</v>
      </c>
      <c r="R35" s="30">
        <f t="shared" si="23"/>
        <v>3.4883160981632989E-4</v>
      </c>
      <c r="S35" s="30">
        <f t="shared" si="23"/>
        <v>3.1854545454545455E-2</v>
      </c>
      <c r="T35" s="38">
        <f>IFERROR(up_RadSpec!$F$30*T30,".")*$B$35</f>
        <v>0.18835616438356168</v>
      </c>
      <c r="U35" s="38">
        <f>IFERROR(up_RadSpec!$M$30*U30,".")*$B$35</f>
        <v>3.8448122780314578E-2</v>
      </c>
      <c r="V35" s="38">
        <f>IFERROR(up_RadSpec!$N$30*V30,".")*$B$35</f>
        <v>0.10669185954967726</v>
      </c>
      <c r="W35" s="38">
        <f>IFERROR(up_RadSpec!$O$30*W30,".")*$B$35</f>
        <v>0.14333563413684466</v>
      </c>
      <c r="X35" s="38">
        <f>IFERROR(up_RadSpec!$K$30*X30,".")*$B$35</f>
        <v>1.5696347031963474E-3</v>
      </c>
      <c r="Y35" s="47">
        <f t="shared" si="18"/>
        <v>0.17168036326381109</v>
      </c>
      <c r="Z35" s="47">
        <f t="shared" si="13"/>
        <v>3.7718376059823977E-2</v>
      </c>
      <c r="AA35" s="47">
        <f t="shared" si="13"/>
        <v>0.10119741224206324</v>
      </c>
      <c r="AB35" s="47">
        <f t="shared" si="13"/>
        <v>0.13353679454370126</v>
      </c>
      <c r="AC35" s="47">
        <f t="shared" si="13"/>
        <v>1.5696347031963474E-3</v>
      </c>
      <c r="AD35" s="30">
        <f t="shared" ref="AD35:AF35" si="24">IFERROR(AD30/$B35,0)</f>
        <v>2.9090909090909094E-10</v>
      </c>
      <c r="AE35" s="30">
        <f t="shared" si="24"/>
        <v>6.3709090909090908E-6</v>
      </c>
      <c r="AF35" s="30">
        <f t="shared" si="24"/>
        <v>2.9089580799548386E-10</v>
      </c>
      <c r="AG35" s="38">
        <f>IFERROR(up_RadSpec!$G$30*AG30,".")*$B$35</f>
        <v>171875</v>
      </c>
      <c r="AH35" s="38">
        <f>IFERROR(up_RadSpec!$J$30*AH30,".")*$B$35</f>
        <v>7.8481735159817356</v>
      </c>
      <c r="AI35" s="47">
        <f t="shared" si="20"/>
        <v>1</v>
      </c>
      <c r="AJ35" s="47">
        <f t="shared" si="20"/>
        <v>0.99960953550549536</v>
      </c>
      <c r="AK35" s="47">
        <f t="shared" si="21"/>
        <v>1</v>
      </c>
    </row>
    <row r="36" spans="1:37" x14ac:dyDescent="0.25">
      <c r="A36" s="29" t="s">
        <v>294</v>
      </c>
      <c r="B36" s="24">
        <v>1</v>
      </c>
      <c r="C36" s="2"/>
      <c r="D36" s="30">
        <f>IFERROR(D26/$B36,0)</f>
        <v>7.272727272727274E-8</v>
      </c>
      <c r="E36" s="30">
        <f>IFERROR(E26/$B36,0)</f>
        <v>9.0250320889537203E-5</v>
      </c>
      <c r="F36" s="30">
        <f>IFERROR(F26/$B36,0)</f>
        <v>2.7899814471243033E-4</v>
      </c>
      <c r="G36" s="30">
        <f t="shared" si="22"/>
        <v>7.2649790820603426E-8</v>
      </c>
      <c r="H36" s="38">
        <f>IFERROR(up_RadSpec!$I$26*H26,".")*$B$37</f>
        <v>687.5</v>
      </c>
      <c r="I36" s="38">
        <f>IFERROR(up_RadSpec!$G$26*I26,".")*$B$37</f>
        <v>0.55401465066476618</v>
      </c>
      <c r="J36" s="38">
        <f>IFERROR(up_RadSpec!$F$26*J26,".")*$B$37</f>
        <v>0.17921266125814611</v>
      </c>
      <c r="K36" s="47">
        <f t="shared" si="11"/>
        <v>1</v>
      </c>
      <c r="L36" s="47">
        <f t="shared" si="11"/>
        <v>0.42536179830386023</v>
      </c>
      <c r="M36" s="47">
        <f t="shared" si="11"/>
        <v>0.16407188903044823</v>
      </c>
      <c r="N36" s="47">
        <f t="shared" si="16"/>
        <v>1</v>
      </c>
      <c r="O36" s="30">
        <f t="shared" ref="O36:S36" si="25">IFERROR(O26/$B36,0)</f>
        <v>2.7899814471243033E-4</v>
      </c>
      <c r="P36" s="30">
        <f t="shared" si="25"/>
        <v>5.0938165204298855E-4</v>
      </c>
      <c r="Q36" s="30">
        <f t="shared" si="25"/>
        <v>3.681714832535885E-4</v>
      </c>
      <c r="R36" s="30">
        <f t="shared" si="25"/>
        <v>3.149256198347106E-4</v>
      </c>
      <c r="S36" s="30">
        <f t="shared" si="25"/>
        <v>2.9689496050264632E-3</v>
      </c>
      <c r="T36" s="38">
        <f>IFERROR(up_RadSpec!$F$26*T26,".")*$B$37</f>
        <v>0.17921266125814611</v>
      </c>
      <c r="U36" s="38">
        <f>IFERROR(up_RadSpec!$M$26*U26,".")*$B$37</f>
        <v>9.8158227332028683E-2</v>
      </c>
      <c r="V36" s="38">
        <f>IFERROR(up_RadSpec!$N$26*V26,".")*$B$37</f>
        <v>0.13580628124194263</v>
      </c>
      <c r="W36" s="38">
        <f>IFERROR(up_RadSpec!$O$26*W26,".")*$B$37</f>
        <v>0.15876764813940072</v>
      </c>
      <c r="X36" s="38">
        <f>IFERROR(up_RadSpec!$K$26*X26,".")*$B$37</f>
        <v>1.6840972953986649E-2</v>
      </c>
      <c r="Y36" s="47">
        <f t="shared" si="18"/>
        <v>0.16407188903044823</v>
      </c>
      <c r="Z36" s="47">
        <f t="shared" si="13"/>
        <v>9.3494541534424935E-2</v>
      </c>
      <c r="AA36" s="47">
        <f t="shared" si="13"/>
        <v>0.12698826514191375</v>
      </c>
      <c r="AB36" s="47">
        <f t="shared" si="13"/>
        <v>0.14680542271247188</v>
      </c>
      <c r="AC36" s="47">
        <f t="shared" si="13"/>
        <v>1.6699956496801227E-2</v>
      </c>
      <c r="AD36" s="30">
        <f t="shared" ref="AD36:AF36" si="26">IFERROR(AD26/$B36,0)</f>
        <v>2.9090909090909094E-10</v>
      </c>
      <c r="AE36" s="30">
        <f t="shared" si="26"/>
        <v>6.3709090909090908E-6</v>
      </c>
      <c r="AF36" s="30">
        <f t="shared" si="26"/>
        <v>2.9089580799548386E-10</v>
      </c>
      <c r="AG36" s="38">
        <f>IFERROR(up_RadSpec!$G$26*AG26,".")*$B$37</f>
        <v>171875</v>
      </c>
      <c r="AH36" s="38">
        <f>IFERROR(up_RadSpec!$J$26*AH26,".")*$B$37</f>
        <v>7.8481735159817356</v>
      </c>
      <c r="AI36" s="47">
        <f t="shared" si="20"/>
        <v>1</v>
      </c>
      <c r="AJ36" s="47">
        <f t="shared" si="20"/>
        <v>0.99960953550549536</v>
      </c>
      <c r="AK36" s="47">
        <f t="shared" si="21"/>
        <v>1</v>
      </c>
    </row>
    <row r="37" spans="1:37" x14ac:dyDescent="0.25">
      <c r="A37" s="29" t="s">
        <v>295</v>
      </c>
      <c r="B37" s="24">
        <v>1</v>
      </c>
      <c r="C37" s="2"/>
      <c r="D37" s="30">
        <f>IFERROR(D22/$B37,0)</f>
        <v>7.272727272727274E-8</v>
      </c>
      <c r="E37" s="30">
        <f>IFERROR(E22/$B37,0)</f>
        <v>9.0250320889537203E-5</v>
      </c>
      <c r="F37" s="30">
        <f>IFERROR(F22/$B37,0)</f>
        <v>152.850439882698</v>
      </c>
      <c r="G37" s="30">
        <f t="shared" si="22"/>
        <v>7.2668713373636177E-8</v>
      </c>
      <c r="H37" s="38">
        <f>IFERROR(up_RadSpec!$I$22*H22,".")*$B$37</f>
        <v>687.5</v>
      </c>
      <c r="I37" s="38">
        <f>IFERROR(up_RadSpec!$G$22*I22,".")*$B$37</f>
        <v>0.55401465066476618</v>
      </c>
      <c r="J37" s="38">
        <f>IFERROR(up_RadSpec!$F$22*J22,".")*$B$37</f>
        <v>3.2711714822915461E-7</v>
      </c>
      <c r="K37" s="47">
        <f t="shared" si="11"/>
        <v>1</v>
      </c>
      <c r="L37" s="47">
        <f t="shared" si="11"/>
        <v>0.42536179830386023</v>
      </c>
      <c r="M37" s="47">
        <f t="shared" si="11"/>
        <v>3.2711714822915461E-7</v>
      </c>
      <c r="N37" s="47">
        <f t="shared" si="16"/>
        <v>1</v>
      </c>
      <c r="O37" s="30">
        <f t="shared" ref="O37:S37" si="27">IFERROR(O22/$B37,0)</f>
        <v>152.850439882698</v>
      </c>
      <c r="P37" s="30">
        <f t="shared" si="27"/>
        <v>140.06003150167919</v>
      </c>
      <c r="Q37" s="30">
        <f t="shared" si="27"/>
        <v>107.60360759143475</v>
      </c>
      <c r="R37" s="30">
        <f t="shared" si="27"/>
        <v>110.88257575757572</v>
      </c>
      <c r="S37" s="30">
        <f t="shared" si="27"/>
        <v>786.78866993535519</v>
      </c>
      <c r="T37" s="38">
        <f>IFERROR(up_RadSpec!$F$22*T22,".")*$B$37</f>
        <v>3.2711714822915461E-7</v>
      </c>
      <c r="U37" s="38">
        <f>IFERROR(up_RadSpec!$M$22*U22,".")*$B$37</f>
        <v>3.5698978119536224E-7</v>
      </c>
      <c r="V37" s="38">
        <f>IFERROR(up_RadSpec!$N$22*V22,".")*$B$37</f>
        <v>4.6466843555884648E-7</v>
      </c>
      <c r="W37" s="38">
        <f>IFERROR(up_RadSpec!$O$22*W22,".")*$B$37</f>
        <v>4.5092747583097079E-7</v>
      </c>
      <c r="X37" s="38">
        <f>IFERROR(up_RadSpec!$K$22*X22,".")*$B$37</f>
        <v>6.3549466217031525E-8</v>
      </c>
      <c r="Y37" s="47">
        <f t="shared" si="18"/>
        <v>3.2711714822915461E-7</v>
      </c>
      <c r="Z37" s="47">
        <f t="shared" si="13"/>
        <v>3.5698978119536224E-7</v>
      </c>
      <c r="AA37" s="47">
        <f t="shared" si="13"/>
        <v>4.6466843555884648E-7</v>
      </c>
      <c r="AB37" s="47">
        <f t="shared" si="13"/>
        <v>4.5092747583097079E-7</v>
      </c>
      <c r="AC37" s="47">
        <f t="shared" si="13"/>
        <v>6.3549466217031525E-8</v>
      </c>
      <c r="AD37" s="30">
        <f t="shared" ref="AD37:AF37" si="28">IFERROR(AD22/$B37,0)</f>
        <v>2.9090909090909094E-10</v>
      </c>
      <c r="AE37" s="30">
        <f t="shared" si="28"/>
        <v>6.3709090909090908E-6</v>
      </c>
      <c r="AF37" s="30">
        <f t="shared" si="28"/>
        <v>2.9089580799548386E-10</v>
      </c>
      <c r="AG37" s="38">
        <f>IFERROR(up_RadSpec!$G$22*AG22,".")*$B$37</f>
        <v>171875</v>
      </c>
      <c r="AH37" s="38">
        <f>IFERROR(up_RadSpec!$J$22*AH22,".")*$B$37</f>
        <v>7.8481735159817356</v>
      </c>
      <c r="AI37" s="47">
        <f t="shared" si="20"/>
        <v>1</v>
      </c>
      <c r="AJ37" s="47">
        <f t="shared" si="20"/>
        <v>0.99960953550549536</v>
      </c>
      <c r="AK37" s="47">
        <f t="shared" si="21"/>
        <v>1</v>
      </c>
    </row>
    <row r="38" spans="1:37" x14ac:dyDescent="0.25">
      <c r="A38" s="29" t="s">
        <v>296</v>
      </c>
      <c r="B38" s="24">
        <v>1</v>
      </c>
      <c r="C38" s="2"/>
      <c r="D38" s="30">
        <f>IFERROR(D2/$B38,0)</f>
        <v>7.272727272727274E-8</v>
      </c>
      <c r="E38" s="30">
        <f>IFERROR(E2/$B38,0)</f>
        <v>9.0250320889537203E-5</v>
      </c>
      <c r="F38" s="30">
        <f>IFERROR(F2/$B38,0)</f>
        <v>1.6909254955570753E-4</v>
      </c>
      <c r="G38" s="30">
        <f t="shared" si="22"/>
        <v>7.2637496932584985E-8</v>
      </c>
      <c r="H38" s="38">
        <f>IFERROR(up_RadSpec!$I$2*H2,".")*$B$38</f>
        <v>687.5</v>
      </c>
      <c r="I38" s="38">
        <f>IFERROR(up_RadSpec!$G$2*I2,".")*$B$38</f>
        <v>0.55401465066476618</v>
      </c>
      <c r="J38" s="38">
        <f>IFERROR(up_RadSpec!$F$2*J2,".")*$B$38</f>
        <v>0.29569605598458093</v>
      </c>
      <c r="K38" s="47">
        <f t="shared" si="11"/>
        <v>1</v>
      </c>
      <c r="L38" s="47">
        <f t="shared" si="11"/>
        <v>0.42536179830386023</v>
      </c>
      <c r="M38" s="47">
        <f t="shared" si="11"/>
        <v>0.25598646788257673</v>
      </c>
      <c r="N38" s="47">
        <f t="shared" si="16"/>
        <v>1</v>
      </c>
      <c r="O38" s="30">
        <f t="shared" ref="O38:S38" si="29">IFERROR(O2/$B38,0)</f>
        <v>1.6909254955570753E-4</v>
      </c>
      <c r="P38" s="30">
        <f t="shared" si="29"/>
        <v>3.4189433603046168E-4</v>
      </c>
      <c r="Q38" s="30">
        <f t="shared" si="29"/>
        <v>2.3221070518266771E-4</v>
      </c>
      <c r="R38" s="30">
        <f t="shared" si="29"/>
        <v>1.9301841948900773E-4</v>
      </c>
      <c r="S38" s="30">
        <f t="shared" si="29"/>
        <v>2.7055190009399764E-3</v>
      </c>
      <c r="T38" s="38">
        <f>IFERROR(up_RadSpec!$F$2*T2,".")*$B$38</f>
        <v>0.29569605598458093</v>
      </c>
      <c r="U38" s="38">
        <f>IFERROR(up_RadSpec!$M$2*U2,".")*$B$38</f>
        <v>0.14624401381000118</v>
      </c>
      <c r="V38" s="38">
        <f>IFERROR(up_RadSpec!$N$2*V2,".")*$B$38</f>
        <v>0.21532168364360155</v>
      </c>
      <c r="W38" s="38">
        <f>IFERROR(up_RadSpec!$O$2*W2,".")*$B$38</f>
        <v>0.25904263506233655</v>
      </c>
      <c r="X38" s="38">
        <f>IFERROR(up_RadSpec!$K$2*X2,".")*$B$38</f>
        <v>1.8480742505459599E-2</v>
      </c>
      <c r="Y38" s="47">
        <f t="shared" si="18"/>
        <v>0.25598646788257673</v>
      </c>
      <c r="Z38" s="47">
        <f t="shared" si="13"/>
        <v>0.13605313750388714</v>
      </c>
      <c r="AA38" s="47">
        <f t="shared" si="13"/>
        <v>0.19371796928573737</v>
      </c>
      <c r="AB38" s="47">
        <f t="shared" si="13"/>
        <v>0.22820988297751665</v>
      </c>
      <c r="AC38" s="47">
        <f t="shared" si="13"/>
        <v>1.831102072007873E-2</v>
      </c>
      <c r="AD38" s="30">
        <f t="shared" ref="AD38:AF38" si="30">IFERROR(AD2/$B38,0)</f>
        <v>2.9090909090909094E-10</v>
      </c>
      <c r="AE38" s="30">
        <f t="shared" si="30"/>
        <v>6.3709090909090908E-6</v>
      </c>
      <c r="AF38" s="30">
        <f t="shared" si="30"/>
        <v>2.9089580799548386E-10</v>
      </c>
      <c r="AG38" s="38">
        <f>IFERROR(up_RadSpec!$G$2*AG2,".")*$B$38</f>
        <v>171875</v>
      </c>
      <c r="AH38" s="38">
        <f>IFERROR(up_RadSpec!$J$2*AH2,".")*$B$38</f>
        <v>7.8481735159817356</v>
      </c>
      <c r="AI38" s="47">
        <f t="shared" si="20"/>
        <v>1</v>
      </c>
      <c r="AJ38" s="47">
        <f t="shared" si="20"/>
        <v>0.99960953550549536</v>
      </c>
      <c r="AK38" s="47">
        <f t="shared" si="21"/>
        <v>1</v>
      </c>
    </row>
    <row r="39" spans="1:37" x14ac:dyDescent="0.25">
      <c r="A39" s="29" t="s">
        <v>297</v>
      </c>
      <c r="B39" s="24">
        <v>1</v>
      </c>
      <c r="C39" s="2"/>
      <c r="D39" s="30">
        <f>IFERROR(D11/$B39,0)</f>
        <v>7.272727272727274E-8</v>
      </c>
      <c r="E39" s="30">
        <f>IFERROR(E11/$B39,0)</f>
        <v>9.0250320889537203E-5</v>
      </c>
      <c r="F39" s="30">
        <f>IFERROR(F11/$B39,0)</f>
        <v>1.4877122877122876E-4</v>
      </c>
      <c r="G39" s="30">
        <f t="shared" si="22"/>
        <v>7.2633235017752465E-8</v>
      </c>
      <c r="H39" s="38">
        <f>IFERROR(up_RadSpec!$I$11*H11,".")*$B$39</f>
        <v>687.5</v>
      </c>
      <c r="I39" s="38">
        <f>IFERROR(up_RadSpec!$G$11*I11,".")*$B$39</f>
        <v>0.55401465066476618</v>
      </c>
      <c r="J39" s="38">
        <f>IFERROR(up_RadSpec!$F$11*J11,".")*$B$39</f>
        <v>0.33608648939027674</v>
      </c>
      <c r="K39" s="47">
        <f t="shared" si="11"/>
        <v>1</v>
      </c>
      <c r="L39" s="47">
        <f t="shared" si="11"/>
        <v>0.42536179830386023</v>
      </c>
      <c r="M39" s="47">
        <f t="shared" si="11"/>
        <v>0.28543869882788087</v>
      </c>
      <c r="N39" s="47">
        <f t="shared" si="16"/>
        <v>1</v>
      </c>
      <c r="O39" s="30">
        <f t="shared" ref="O39:S39" si="31">IFERROR(O11/$B39,0)</f>
        <v>1.4877122877122876E-4</v>
      </c>
      <c r="P39" s="30">
        <f t="shared" si="31"/>
        <v>1.8824477461596578E-4</v>
      </c>
      <c r="Q39" s="30">
        <f t="shared" si="31"/>
        <v>1.4609548724656639E-4</v>
      </c>
      <c r="R39" s="30">
        <f t="shared" si="31"/>
        <v>1.3916387959866225E-4</v>
      </c>
      <c r="S39" s="30">
        <f t="shared" si="31"/>
        <v>3.5044063079777365E-4</v>
      </c>
      <c r="T39" s="38">
        <f>IFERROR(up_RadSpec!$F$11*T11,".")*$B$39</f>
        <v>0.33608648939027674</v>
      </c>
      <c r="U39" s="38">
        <f>IFERROR(up_RadSpec!$M$11*U11,".")*$B$39</f>
        <v>0.26561162243150688</v>
      </c>
      <c r="V39" s="38">
        <f>IFERROR(up_RadSpec!$N$11*V11,".")*$B$39</f>
        <v>0.34224191959888989</v>
      </c>
      <c r="W39" s="38">
        <f>IFERROR(up_RadSpec!$O$11*W11,".")*$B$39</f>
        <v>0.35928863254025467</v>
      </c>
      <c r="X39" s="38">
        <f>IFERROR(up_RadSpec!$K$11*X11,".")*$B$39</f>
        <v>0.14267751968764478</v>
      </c>
      <c r="Y39" s="47">
        <f t="shared" si="18"/>
        <v>0.28543869882788087</v>
      </c>
      <c r="Z39" s="47">
        <f t="shared" si="13"/>
        <v>0.23326314692301875</v>
      </c>
      <c r="AA39" s="47">
        <f t="shared" si="13"/>
        <v>0.28982362165865716</v>
      </c>
      <c r="AB39" s="47">
        <f t="shared" si="13"/>
        <v>0.30182719312395956</v>
      </c>
      <c r="AC39" s="47">
        <f t="shared" si="13"/>
        <v>0.13296637490837637</v>
      </c>
      <c r="AD39" s="30">
        <f t="shared" ref="AD39:AF39" si="32">IFERROR(AD11/$B39,0)</f>
        <v>2.9090909090909094E-10</v>
      </c>
      <c r="AE39" s="30">
        <f t="shared" si="32"/>
        <v>6.3709090909090908E-6</v>
      </c>
      <c r="AF39" s="30">
        <f t="shared" si="32"/>
        <v>2.9089580799548386E-10</v>
      </c>
      <c r="AG39" s="38">
        <f>IFERROR(up_RadSpec!$G$11*AG11,".")*$B$39</f>
        <v>171875</v>
      </c>
      <c r="AH39" s="38">
        <f>IFERROR(up_RadSpec!$J$11*AH11,".")*$B$39</f>
        <v>7.8481735159817356</v>
      </c>
      <c r="AI39" s="47">
        <f t="shared" si="20"/>
        <v>1</v>
      </c>
      <c r="AJ39" s="47">
        <f t="shared" si="20"/>
        <v>0.99960953550549536</v>
      </c>
      <c r="AK39" s="47">
        <f t="shared" si="21"/>
        <v>1</v>
      </c>
    </row>
    <row r="40" spans="1:37" x14ac:dyDescent="0.25">
      <c r="A40" s="29" t="s">
        <v>298</v>
      </c>
      <c r="B40" s="24">
        <v>1</v>
      </c>
      <c r="C40" s="2"/>
      <c r="D40" s="30">
        <f>IFERROR(D4/$B40,0)</f>
        <v>7.272727272727274E-8</v>
      </c>
      <c r="E40" s="30">
        <f>IFERROR(E4/$B40,0)</f>
        <v>9.0250320889537203E-5</v>
      </c>
      <c r="F40" s="30">
        <f>IFERROR(F4/$B40,0)</f>
        <v>8.2585858585858629E-5</v>
      </c>
      <c r="G40" s="30">
        <f t="shared" si="22"/>
        <v>7.260482717550008E-8</v>
      </c>
      <c r="H40" s="38">
        <f>IFERROR(up_RadSpec!$I$4*H4,".")*$B$40</f>
        <v>687.5</v>
      </c>
      <c r="I40" s="38">
        <f>IFERROR(up_RadSpec!$G$4*I4,".")*$B$40</f>
        <v>0.55401465066476618</v>
      </c>
      <c r="J40" s="38">
        <f>IFERROR(up_RadSpec!$F$4*J4,".")*$B$40</f>
        <v>0.60543052837573375</v>
      </c>
      <c r="K40" s="47">
        <f t="shared" si="11"/>
        <v>1</v>
      </c>
      <c r="L40" s="47">
        <f t="shared" si="11"/>
        <v>0.42536179830386023</v>
      </c>
      <c r="M40" s="47">
        <f t="shared" si="11"/>
        <v>0.45416062329475759</v>
      </c>
      <c r="N40" s="47">
        <f t="shared" si="16"/>
        <v>1</v>
      </c>
      <c r="O40" s="30">
        <f t="shared" ref="O40:S40" si="33">IFERROR(O4/$B40,0)</f>
        <v>8.2585858585858629E-5</v>
      </c>
      <c r="P40" s="30">
        <f t="shared" si="33"/>
        <v>1.3476923076923084E-4</v>
      </c>
      <c r="Q40" s="30">
        <f t="shared" si="33"/>
        <v>9.6948616600790494E-5</v>
      </c>
      <c r="R40" s="30">
        <f t="shared" si="33"/>
        <v>8.4393416567329625E-5</v>
      </c>
      <c r="S40" s="30">
        <f t="shared" si="33"/>
        <v>2.4888664733324921E-4</v>
      </c>
      <c r="T40" s="38">
        <f>IFERROR(up_RadSpec!$F$4*T4,".")*$B$40</f>
        <v>0.60543052837573375</v>
      </c>
      <c r="U40" s="38">
        <f>IFERROR(up_RadSpec!$M$4*U4,".")*$B$40</f>
        <v>0.37100456621004563</v>
      </c>
      <c r="V40" s="38">
        <f>IFERROR(up_RadSpec!$N$4*V4,".")*$B$40</f>
        <v>0.51573711676451417</v>
      </c>
      <c r="W40" s="38">
        <f>IFERROR(up_RadSpec!$O$4*W4,".")*$B$40</f>
        <v>0.59246327538013199</v>
      </c>
      <c r="X40" s="38">
        <f>IFERROR(up_RadSpec!$K$4*X4,".")*$B$40</f>
        <v>0.20089466645051482</v>
      </c>
      <c r="Y40" s="47">
        <f t="shared" si="18"/>
        <v>0.45416062329475759</v>
      </c>
      <c r="Z40" s="47">
        <f t="shared" si="13"/>
        <v>0.30995920931959509</v>
      </c>
      <c r="AA40" s="47">
        <f t="shared" si="13"/>
        <v>0.40293967080341675</v>
      </c>
      <c r="AB40" s="47">
        <f t="shared" si="13"/>
        <v>0.44703649564561077</v>
      </c>
      <c r="AC40" s="47">
        <f t="shared" si="13"/>
        <v>0.18200141028896444</v>
      </c>
      <c r="AD40" s="30">
        <f t="shared" ref="AD40:AF40" si="34">IFERROR(AD4/$B40,0)</f>
        <v>2.9090909090909094E-10</v>
      </c>
      <c r="AE40" s="30">
        <f t="shared" si="34"/>
        <v>6.3709090909090908E-6</v>
      </c>
      <c r="AF40" s="30">
        <f t="shared" si="34"/>
        <v>2.9089580799548386E-10</v>
      </c>
      <c r="AG40" s="38">
        <f>IFERROR(up_RadSpec!$G$4*AG4,".")*$B$40</f>
        <v>171875</v>
      </c>
      <c r="AH40" s="38">
        <f>IFERROR(up_RadSpec!$J$4*AH4,".")*$B$40</f>
        <v>7.8481735159817356</v>
      </c>
      <c r="AI40" s="47">
        <f t="shared" si="20"/>
        <v>1</v>
      </c>
      <c r="AJ40" s="47">
        <f t="shared" si="20"/>
        <v>0.99960953550549536</v>
      </c>
      <c r="AK40" s="47">
        <f t="shared" si="21"/>
        <v>1</v>
      </c>
    </row>
    <row r="41" spans="1:37" x14ac:dyDescent="0.25">
      <c r="A41" s="29" t="s">
        <v>299</v>
      </c>
      <c r="B41" s="31">
        <v>0.99987999999999999</v>
      </c>
      <c r="C41" s="111"/>
      <c r="D41" s="30">
        <f>IFERROR(D8/$B41,0)</f>
        <v>7.2736001047398429E-8</v>
      </c>
      <c r="E41" s="30">
        <f>IFERROR(E8/$B41,0)</f>
        <v>9.0261152227804535E-5</v>
      </c>
      <c r="F41" s="30">
        <f>IFERROR(F8/$B41,0)</f>
        <v>5.2803925622255014E-5</v>
      </c>
      <c r="G41" s="30">
        <f t="shared" si="22"/>
        <v>7.2577541567861786E-8</v>
      </c>
      <c r="H41" s="38">
        <f>IFERROR(up_RadSpec!$I$8*H8,".")*$B$41</f>
        <v>687.41750000000002</v>
      </c>
      <c r="I41" s="38">
        <f>IFERROR(up_RadSpec!$G$8*I8,".")*$B$41</f>
        <v>0.55394816890668641</v>
      </c>
      <c r="J41" s="38">
        <f>IFERROR(up_RadSpec!$F$8*J8,".")*$B$41</f>
        <v>0.94689929604261758</v>
      </c>
      <c r="K41" s="47">
        <f t="shared" si="11"/>
        <v>1</v>
      </c>
      <c r="L41" s="47">
        <f t="shared" si="11"/>
        <v>0.4253235940760236</v>
      </c>
      <c r="M41" s="47">
        <f t="shared" si="11"/>
        <v>0.61205794606587272</v>
      </c>
      <c r="N41" s="47">
        <f t="shared" si="16"/>
        <v>1</v>
      </c>
      <c r="O41" s="30">
        <f t="shared" ref="O41:S41" si="35">IFERROR(O8/$B41,0)</f>
        <v>5.2803925622255014E-5</v>
      </c>
      <c r="P41" s="30">
        <f t="shared" si="35"/>
        <v>9.6932155554038061E-5</v>
      </c>
      <c r="Q41" s="30">
        <f t="shared" si="35"/>
        <v>7.0751452795470674E-5</v>
      </c>
      <c r="R41" s="30">
        <f t="shared" si="35"/>
        <v>6.4867913982563719E-5</v>
      </c>
      <c r="S41" s="30">
        <f t="shared" si="35"/>
        <v>1.7960422486818002E-4</v>
      </c>
      <c r="T41" s="38">
        <f>IFERROR(up_RadSpec!$F$8*T8,".")*$B$41</f>
        <v>0.94689929604261758</v>
      </c>
      <c r="U41" s="38">
        <f>IFERROR(up_RadSpec!$M$8*U8,".")*$B$41</f>
        <v>0.51582469939117204</v>
      </c>
      <c r="V41" s="38">
        <f>IFERROR(up_RadSpec!$N$8*V8,".")*$B$41</f>
        <v>0.70669926940639272</v>
      </c>
      <c r="W41" s="38">
        <f>IFERROR(up_RadSpec!$O$8*W8,".")*$B$41</f>
        <v>0.77079710029583881</v>
      </c>
      <c r="X41" s="38">
        <f>IFERROR(up_RadSpec!$K$8*X8,".")*$B$41</f>
        <v>0.27838988774733642</v>
      </c>
      <c r="Y41" s="47">
        <f t="shared" si="18"/>
        <v>0.61205794606587272</v>
      </c>
      <c r="Z41" s="47">
        <f t="shared" si="13"/>
        <v>0.40299196062544751</v>
      </c>
      <c r="AA41" s="47">
        <f t="shared" si="13"/>
        <v>0.50673033635809328</v>
      </c>
      <c r="AB41" s="47">
        <f t="shared" si="13"/>
        <v>0.537355852489527</v>
      </c>
      <c r="AC41" s="47">
        <f t="shared" si="13"/>
        <v>0.24299838168567478</v>
      </c>
      <c r="AD41" s="30">
        <f t="shared" ref="AD41:AF41" si="36">IFERROR(AD8/$B41,0)</f>
        <v>2.9094400418959372E-10</v>
      </c>
      <c r="AE41" s="30">
        <f t="shared" si="36"/>
        <v>6.3716736917521008E-6</v>
      </c>
      <c r="AF41" s="30">
        <f t="shared" si="36"/>
        <v>2.9093071968184571E-10</v>
      </c>
      <c r="AG41" s="38">
        <f>IFERROR(up_RadSpec!$G$8*AG8,".")*$B$41</f>
        <v>171854.375</v>
      </c>
      <c r="AH41" s="38">
        <f>IFERROR(up_RadSpec!$J$8*AH8,".")*$B$41</f>
        <v>7.8472317351598173</v>
      </c>
      <c r="AI41" s="47">
        <f t="shared" si="20"/>
        <v>1</v>
      </c>
      <c r="AJ41" s="47">
        <f t="shared" si="20"/>
        <v>0.99960916760030694</v>
      </c>
      <c r="AK41" s="47">
        <f t="shared" si="21"/>
        <v>1</v>
      </c>
    </row>
    <row r="42" spans="1:37" x14ac:dyDescent="0.25">
      <c r="A42" s="29" t="s">
        <v>300</v>
      </c>
      <c r="B42" s="24">
        <v>0.97898250799999997</v>
      </c>
      <c r="C42" s="2"/>
      <c r="D42" s="30">
        <f>IFERROR(D19/$B42,0)</f>
        <v>7.4288633487282639E-8</v>
      </c>
      <c r="E42" s="30">
        <f>IFERROR(E19/$B42,0)</f>
        <v>9.218787889674655E-5</v>
      </c>
      <c r="F42" s="30">
        <f>IFERROR(F19/$B42,0)</f>
        <v>3.7334275877263395E-5</v>
      </c>
      <c r="G42" s="30">
        <f t="shared" si="22"/>
        <v>7.4081526477565172E-8</v>
      </c>
      <c r="H42" s="48">
        <f>IFERROR(up_RadSpec!$I$19*H19,".")*$B$42</f>
        <v>673.05047424999998</v>
      </c>
      <c r="I42" s="48">
        <f>IFERROR(up_RadSpec!$G$19*I19,".")*$B$42</f>
        <v>0.54237065217653668</v>
      </c>
      <c r="J42" s="48">
        <f>IFERROR(up_RadSpec!$F$19*J19,".")*$B$42</f>
        <v>1.339251902578082</v>
      </c>
      <c r="K42" s="47">
        <f t="shared" si="11"/>
        <v>1</v>
      </c>
      <c r="L42" s="47">
        <f t="shared" si="11"/>
        <v>0.41863160481192108</v>
      </c>
      <c r="M42" s="47">
        <f t="shared" si="11"/>
        <v>0.73795837206086223</v>
      </c>
      <c r="N42" s="47">
        <f t="shared" si="16"/>
        <v>1</v>
      </c>
      <c r="O42" s="30">
        <f t="shared" ref="O42:S42" si="37">IFERROR(O19/$B42,0)</f>
        <v>3.7334275877263395E-5</v>
      </c>
      <c r="P42" s="30">
        <f t="shared" si="37"/>
        <v>7.4048936703994229E-5</v>
      </c>
      <c r="Q42" s="30">
        <f t="shared" si="37"/>
        <v>5.1330664881774289E-5</v>
      </c>
      <c r="R42" s="30">
        <f t="shared" si="37"/>
        <v>4.2871568825329785E-5</v>
      </c>
      <c r="S42" s="30">
        <f t="shared" si="37"/>
        <v>1.2751430676891291E-4</v>
      </c>
      <c r="T42" s="48">
        <f>IFERROR(up_RadSpec!$F$19*T19,".")*$B$42</f>
        <v>1.339251902578082</v>
      </c>
      <c r="U42" s="48">
        <f>IFERROR(up_RadSpec!$M$19*U19,".")*$B$42</f>
        <v>0.67522914204523599</v>
      </c>
      <c r="V42" s="48">
        <f>IFERROR(up_RadSpec!$N$19*V19,".")*$B$42</f>
        <v>0.97407660927753237</v>
      </c>
      <c r="W42" s="48">
        <f>IFERROR(up_RadSpec!$O$19*W19,".")*$B$42</f>
        <v>1.1662740918979047</v>
      </c>
      <c r="X42" s="48">
        <f>IFERROR(up_RadSpec!$K$19*X19,".")*$B$42</f>
        <v>0.3921128637793736</v>
      </c>
      <c r="Y42" s="47">
        <f t="shared" si="18"/>
        <v>0.73795837206086223</v>
      </c>
      <c r="Z42" s="47">
        <f t="shared" si="13"/>
        <v>0.49096023517013176</v>
      </c>
      <c r="AA42" s="47">
        <f t="shared" si="13"/>
        <v>0.62245918966085934</v>
      </c>
      <c r="AB42" s="47">
        <f t="shared" si="13"/>
        <v>0.68847450303769597</v>
      </c>
      <c r="AC42" s="47">
        <f t="shared" si="13"/>
        <v>0.32437214425593763</v>
      </c>
      <c r="AD42" s="30">
        <f t="shared" ref="AD42:AF42" si="38">IFERROR(AD19/$B42,0)</f>
        <v>2.9715453394913051E-10</v>
      </c>
      <c r="AE42" s="30">
        <f t="shared" si="38"/>
        <v>6.5076842934859581E-6</v>
      </c>
      <c r="AF42" s="30">
        <f t="shared" si="38"/>
        <v>2.9714096586849728E-10</v>
      </c>
      <c r="AG42" s="48">
        <f>IFERROR(up_RadSpec!$G$19*AG19,".")*$B$42</f>
        <v>168262.61856249999</v>
      </c>
      <c r="AH42" s="48">
        <f>IFERROR(up_RadSpec!$J$19*AH19,".")*$B$42</f>
        <v>7.6832245918949775</v>
      </c>
      <c r="AI42" s="47">
        <f t="shared" si="20"/>
        <v>1</v>
      </c>
      <c r="AJ42" s="47">
        <f t="shared" si="20"/>
        <v>0.99953951238250627</v>
      </c>
      <c r="AK42" s="47">
        <f t="shared" si="21"/>
        <v>1</v>
      </c>
    </row>
    <row r="43" spans="1:37" x14ac:dyDescent="0.25">
      <c r="A43" s="29" t="s">
        <v>301</v>
      </c>
      <c r="B43" s="24">
        <v>2.0897492E-2</v>
      </c>
      <c r="C43" s="2"/>
      <c r="D43" s="30">
        <f>IFERROR(D28/$B43,0)</f>
        <v>3.4801914376745659E-6</v>
      </c>
      <c r="E43" s="30">
        <f>IFERROR(E28/$B43,0)</f>
        <v>4.318715417598303E-3</v>
      </c>
      <c r="F43" s="30">
        <f>IFERROR(F28/$B43,0)</f>
        <v>1.244752449535734E-3</v>
      </c>
      <c r="G43" s="30">
        <f t="shared" si="22"/>
        <v>3.4677017127217438E-6</v>
      </c>
      <c r="H43" s="48">
        <f>IFERROR(up_RadSpec!$I$28*H28,".")*$B$43</f>
        <v>14.36702575</v>
      </c>
      <c r="I43" s="48">
        <f>IFERROR(up_RadSpec!$G$28*I28,".")*$B$43</f>
        <v>1.1577516730149746E-2</v>
      </c>
      <c r="J43" s="48">
        <f>IFERROR(up_RadSpec!$F$28*J28,".")*$B$43</f>
        <v>4.0168629528424663E-2</v>
      </c>
      <c r="K43" s="47">
        <f t="shared" si="11"/>
        <v>0.99999942392371743</v>
      </c>
      <c r="L43" s="47">
        <f t="shared" si="11"/>
        <v>1.151075517604927E-2</v>
      </c>
      <c r="M43" s="47">
        <f t="shared" si="11"/>
        <v>3.9372564658019527E-2</v>
      </c>
      <c r="N43" s="47">
        <f t="shared" si="16"/>
        <v>0.99999945297530879</v>
      </c>
      <c r="O43" s="30">
        <f t="shared" ref="O43:S43" si="39">IFERROR(O28/$B43,0)</f>
        <v>1.244752449535734E-3</v>
      </c>
      <c r="P43" s="30">
        <f t="shared" si="39"/>
        <v>2.7756240506474133E-3</v>
      </c>
      <c r="Q43" s="30">
        <f t="shared" si="39"/>
        <v>1.9270845128969143E-3</v>
      </c>
      <c r="R43" s="30">
        <f t="shared" si="39"/>
        <v>1.6684751996732272E-3</v>
      </c>
      <c r="S43" s="30">
        <f t="shared" si="39"/>
        <v>4.8794493601554681E-3</v>
      </c>
      <c r="T43" s="48">
        <f>IFERROR(up_RadSpec!$F$28*T28,".")*$B$43</f>
        <v>4.0168629528424663E-2</v>
      </c>
      <c r="U43" s="48">
        <f>IFERROR(up_RadSpec!$M$28*U28,".")*$B$43</f>
        <v>1.8013966980988484E-2</v>
      </c>
      <c r="V43" s="48">
        <f>IFERROR(up_RadSpec!$N$28*V28,".")*$B$43</f>
        <v>2.5945930064497729E-2</v>
      </c>
      <c r="W43" s="48">
        <f>IFERROR(up_RadSpec!$O$28*W28,".")*$B$43</f>
        <v>2.9967481692141772E-2</v>
      </c>
      <c r="X43" s="48">
        <f>IFERROR(up_RadSpec!$K$28*X28,".")*$B$43</f>
        <v>1.0247057876712325E-2</v>
      </c>
      <c r="Y43" s="47">
        <f t="shared" si="18"/>
        <v>3.9372564658019527E-2</v>
      </c>
      <c r="Z43" s="47">
        <f t="shared" si="13"/>
        <v>1.7852685370367993E-2</v>
      </c>
      <c r="AA43" s="47">
        <f t="shared" si="13"/>
        <v>2.5612226731509757E-2</v>
      </c>
      <c r="AB43" s="47">
        <f t="shared" si="13"/>
        <v>2.9522908691772543E-2</v>
      </c>
      <c r="AC43" s="47">
        <f t="shared" si="13"/>
        <v>1.0194735647955477E-2</v>
      </c>
      <c r="AD43" s="30">
        <f t="shared" ref="AD43:AF43" si="40">IFERROR(AD28/$B43,0)</f>
        <v>1.3920765750698263E-8</v>
      </c>
      <c r="AE43" s="30">
        <f t="shared" si="40"/>
        <v>3.0486476994029193E-4</v>
      </c>
      <c r="AF43" s="30">
        <f t="shared" si="40"/>
        <v>1.3920130128317976E-8</v>
      </c>
      <c r="AG43" s="48">
        <f>IFERROR(up_RadSpec!$G$28*AG28,".")*$B$43</f>
        <v>3591.7564375000002</v>
      </c>
      <c r="AH43" s="48">
        <f>IFERROR(up_RadSpec!$J$28*AH28,".")*$B$43</f>
        <v>0.1640071432648402</v>
      </c>
      <c r="AI43" s="47">
        <f t="shared" si="20"/>
        <v>1</v>
      </c>
      <c r="AJ43" s="47">
        <f t="shared" si="20"/>
        <v>0.15126404088718259</v>
      </c>
      <c r="AK43" s="47">
        <f t="shared" si="21"/>
        <v>1</v>
      </c>
    </row>
    <row r="44" spans="1:37" x14ac:dyDescent="0.25">
      <c r="A44" s="29" t="s">
        <v>302</v>
      </c>
      <c r="B44" s="24">
        <v>0.99987999999999999</v>
      </c>
      <c r="C44" s="2"/>
      <c r="D44" s="30">
        <f>IFERROR(D15/$B44,0)</f>
        <v>7.2736001047398429E-8</v>
      </c>
      <c r="E44" s="30">
        <f>IFERROR(E15/$B44,0)</f>
        <v>9.0261152227804535E-5</v>
      </c>
      <c r="F44" s="30">
        <f>IFERROR(F15/$B44,0)</f>
        <v>0</v>
      </c>
      <c r="G44" s="30">
        <f t="shared" si="22"/>
        <v>7.2677434700348648E-8</v>
      </c>
      <c r="H44" s="38">
        <f>IFERROR(up_RadSpec!$I$15*H15,".")*$B$44</f>
        <v>687.41750000000002</v>
      </c>
      <c r="I44" s="38">
        <f>IFERROR(up_RadSpec!$G$15*I15,".")*$B$44</f>
        <v>0.55394816890668641</v>
      </c>
      <c r="J44" s="38">
        <f>IFERROR(up_RadSpec!$F$15*J15,".")*$B$44</f>
        <v>0</v>
      </c>
      <c r="K44" s="47">
        <f t="shared" si="11"/>
        <v>1</v>
      </c>
      <c r="L44" s="47">
        <f t="shared" si="11"/>
        <v>0.4253235940760236</v>
      </c>
      <c r="M44" s="47">
        <f t="shared" si="11"/>
        <v>0</v>
      </c>
      <c r="N44" s="47">
        <f t="shared" si="16"/>
        <v>1</v>
      </c>
      <c r="O44" s="30">
        <f t="shared" ref="O44:S44" si="41">IFERROR(O15/$B44,0)</f>
        <v>0</v>
      </c>
      <c r="P44" s="30">
        <f t="shared" si="41"/>
        <v>0</v>
      </c>
      <c r="Q44" s="30">
        <f t="shared" si="41"/>
        <v>0</v>
      </c>
      <c r="R44" s="30">
        <f t="shared" si="41"/>
        <v>0</v>
      </c>
      <c r="S44" s="30">
        <f t="shared" si="41"/>
        <v>0</v>
      </c>
      <c r="T44" s="38">
        <f>IFERROR(up_RadSpec!$F$15*T15,".")*$B$44</f>
        <v>0</v>
      </c>
      <c r="U44" s="38">
        <f>IFERROR(up_RadSpec!$M$15*U15,".")*$B$44</f>
        <v>0</v>
      </c>
      <c r="V44" s="38">
        <f>IFERROR(up_RadSpec!$N$15*V15,".")*$B$44</f>
        <v>0</v>
      </c>
      <c r="W44" s="38">
        <f>IFERROR(up_RadSpec!$O$15*W15,".")*$B$44</f>
        <v>0</v>
      </c>
      <c r="X44" s="38">
        <f>IFERROR(up_RadSpec!$K$15*X15,".")*$B$44</f>
        <v>0</v>
      </c>
      <c r="Y44" s="47">
        <f t="shared" si="18"/>
        <v>0</v>
      </c>
      <c r="Z44" s="47">
        <f t="shared" si="13"/>
        <v>0</v>
      </c>
      <c r="AA44" s="47">
        <f t="shared" si="13"/>
        <v>0</v>
      </c>
      <c r="AB44" s="47">
        <f t="shared" si="13"/>
        <v>0</v>
      </c>
      <c r="AC44" s="47">
        <f t="shared" si="13"/>
        <v>0</v>
      </c>
      <c r="AD44" s="30">
        <f t="shared" ref="AD44:AF44" si="42">IFERROR(AD15/$B44,0)</f>
        <v>2.9094400418959372E-10</v>
      </c>
      <c r="AE44" s="30">
        <f t="shared" si="42"/>
        <v>6.3716736917521008E-6</v>
      </c>
      <c r="AF44" s="30">
        <f t="shared" si="42"/>
        <v>2.9093071968184571E-10</v>
      </c>
      <c r="AG44" s="38">
        <f>IFERROR(up_RadSpec!$G$15*AG15,".")*$B$44</f>
        <v>171854.375</v>
      </c>
      <c r="AH44" s="38">
        <f>IFERROR(up_RadSpec!$J$15*AH15,".")*$B$44</f>
        <v>7.8472317351598173</v>
      </c>
      <c r="AI44" s="47">
        <f t="shared" si="20"/>
        <v>1</v>
      </c>
      <c r="AJ44" s="47">
        <f t="shared" si="20"/>
        <v>0.99960916760030694</v>
      </c>
      <c r="AK44" s="47">
        <f t="shared" si="21"/>
        <v>1</v>
      </c>
    </row>
    <row r="45" spans="1:37" x14ac:dyDescent="0.25">
      <c r="A45" s="26" t="s">
        <v>20</v>
      </c>
      <c r="B45" s="26" t="s">
        <v>289</v>
      </c>
      <c r="C45" s="110"/>
      <c r="D45" s="27">
        <f>IFERROR(IF(AND(D46&lt;&gt;0,D47&lt;&gt;0),1/SUM(1/D46,1/D47),IF(AND(D46&lt;&gt;0,D47=0),1/(1/D46),IF(AND(D46=0,D47&lt;&gt;0),1/(1/D47),IF(AND(D46=0,D47=0),".")))),".")</f>
        <v>3.7411340967429224E-8</v>
      </c>
      <c r="E45" s="27">
        <f t="shared" ref="E45:G45" si="43">IFERROR(IF(AND(E46&lt;&gt;0,E47&lt;&gt;0),1/SUM(1/E46,1/E47),IF(AND(E46&lt;&gt;0,E47=0),1/(1/E46),IF(AND(E46=0,E47&lt;&gt;0),1/(1/E47),IF(AND(E46=0,E47=0),".")))),".")</f>
        <v>4.642530099925268E-5</v>
      </c>
      <c r="F45" s="27">
        <f t="shared" si="43"/>
        <v>2.3619228255008185E-5</v>
      </c>
      <c r="G45" s="28">
        <f t="shared" si="43"/>
        <v>3.7322149417281933E-8</v>
      </c>
      <c r="H45" s="45"/>
      <c r="I45" s="45"/>
      <c r="J45" s="45"/>
      <c r="K45" s="46">
        <f>IFERROR(IF(SUM(H46:H47)&gt;0.01,1-EXP(-SUM(H46:H47)),SUM(H46:H47)),".")</f>
        <v>1</v>
      </c>
      <c r="L45" s="46">
        <f>IFERROR(IF(SUM(I46:I47)&gt;0.01,1-EXP(-SUM(I46:I47)),SUM(I46:I47)),".")</f>
        <v>0.6593837972699812</v>
      </c>
      <c r="M45" s="46">
        <f>IFERROR(IF(SUM(J46:J47)&gt;0.01,1-EXP(-SUM(J46:J47)),SUM(J46:J47)),".")</f>
        <v>0.87959801913765279</v>
      </c>
      <c r="N45" s="46">
        <f>IFERROR(IF(SUM(H46:J47)&gt;0.01,1-EXP(-SUM(H46:J47)),SUM(H46:J47)),".")</f>
        <v>1</v>
      </c>
      <c r="O45" s="27">
        <f t="shared" ref="O45:S45" si="44">IFERROR(IF(AND(O46&lt;&gt;0,O47&lt;&gt;0),1/SUM(1/O46,1/O47),IF(AND(O46&lt;&gt;0,O47=0),1/(1/O46),IF(AND(O46=0,O47&lt;&gt;0),1/(1/O47),IF(AND(O46=0,O47=0),".")))),".")</f>
        <v>2.3619228255008185E-5</v>
      </c>
      <c r="P45" s="27">
        <f t="shared" si="44"/>
        <v>4.0304374552807869E-5</v>
      </c>
      <c r="Q45" s="27">
        <f t="shared" si="44"/>
        <v>2.8637265186322229E-5</v>
      </c>
      <c r="R45" s="27">
        <f t="shared" si="44"/>
        <v>2.4917090520755078E-5</v>
      </c>
      <c r="S45" s="27">
        <f t="shared" si="44"/>
        <v>6.7729291215221684E-5</v>
      </c>
      <c r="T45" s="45"/>
      <c r="U45" s="45"/>
      <c r="V45" s="45"/>
      <c r="W45" s="45"/>
      <c r="X45" s="45"/>
      <c r="Y45" s="46">
        <f>IFERROR(IF(SUM(T46:T47)&gt;0.01,1-EXP(-SUM(T46:T47)),SUM(T46:T47)),".")</f>
        <v>0.87959801913765279</v>
      </c>
      <c r="Z45" s="46">
        <f t="shared" ref="Z45:AC45" si="45">IFERROR(IF(SUM(U46:U47)&gt;0.01,1-EXP(-SUM(U46:U47)),SUM(U46:U47)),".")</f>
        <v>0.71077782848758519</v>
      </c>
      <c r="AA45" s="46">
        <f t="shared" si="45"/>
        <v>0.82552551712481603</v>
      </c>
      <c r="AB45" s="46">
        <f t="shared" si="45"/>
        <v>0.86556235969009876</v>
      </c>
      <c r="AC45" s="46">
        <f t="shared" si="45"/>
        <v>0.52204229413853309</v>
      </c>
      <c r="AD45" s="27">
        <f t="shared" ref="AD45:AF45" si="46">IFERROR(IF(AND(AD46&lt;&gt;0,AD47&lt;&gt;0),1/SUM(1/AD46,1/AD47),IF(AND(AD46&lt;&gt;0,AD47=0),1/(1/AD46),IF(AND(AD46=0,AD47&lt;&gt;0),1/(1/AD47),IF(AND(AD46=0,AD47=0),".")))),".")</f>
        <v>1.4964536386971689E-10</v>
      </c>
      <c r="AE45" s="27">
        <f t="shared" si="46"/>
        <v>3.2772334687468002E-6</v>
      </c>
      <c r="AF45" s="28">
        <f t="shared" si="46"/>
        <v>1.4963853106007947E-10</v>
      </c>
      <c r="AG45" s="45"/>
      <c r="AH45" s="45"/>
      <c r="AI45" s="46">
        <f>IFERROR(IF(SUM(AG46:AG47)&gt;0.01,1-EXP(-SUM(AG46:AG47)),SUM(AG46:AG47)),".")</f>
        <v>1</v>
      </c>
      <c r="AJ45" s="46">
        <f>IFERROR(IF(SUM(AH46:AH47)&gt;0.01,1-EXP(-SUM(AH46:AH47)),SUM(AH46:AH47)),".")</f>
        <v>0.99999976337064744</v>
      </c>
      <c r="AK45" s="46">
        <f>IFERROR(IF(SUM(AG46:AH47)&gt;0.01,1-EXP(-SUM(AG46:AH47)),SUM(AG46:AH47)),".")</f>
        <v>1</v>
      </c>
    </row>
    <row r="46" spans="1:37" x14ac:dyDescent="0.25">
      <c r="A46" s="29" t="s">
        <v>303</v>
      </c>
      <c r="B46" s="24">
        <v>1</v>
      </c>
      <c r="C46" s="2"/>
      <c r="D46" s="30">
        <f>IFERROR(D10/$B46,0)</f>
        <v>7.272727272727274E-8</v>
      </c>
      <c r="E46" s="30">
        <f>IFERROR(E10/$B46,0)</f>
        <v>9.0250320889537203E-5</v>
      </c>
      <c r="F46" s="30">
        <f>IFERROR(F10/$B46,0)</f>
        <v>4.9753766233766238E-5</v>
      </c>
      <c r="G46" s="30">
        <f t="shared" si="22"/>
        <v>7.2562730672032604E-8</v>
      </c>
      <c r="H46" s="38">
        <f>IFERROR(up_RadSpec!$I$10*H10,".")*$B$46</f>
        <v>687.5</v>
      </c>
      <c r="I46" s="38">
        <f>IFERROR(up_RadSpec!$G$10*I10,".")*$B$46</f>
        <v>0.55401465066476618</v>
      </c>
      <c r="J46" s="38">
        <f>IFERROR(up_RadSpec!$F$10*J10,".")*$B$46</f>
        <v>1.0049490477781491</v>
      </c>
      <c r="K46" s="47">
        <f t="shared" ref="K46:M47" si="47">IFERROR(IF(H46&gt;0.01,1-EXP(-H46),H46),".")</f>
        <v>1</v>
      </c>
      <c r="L46" s="47">
        <f t="shared" si="47"/>
        <v>0.42536179830386023</v>
      </c>
      <c r="M46" s="47">
        <f t="shared" si="47"/>
        <v>0.63393671393338713</v>
      </c>
      <c r="N46" s="47">
        <f t="shared" ref="N46:N47" si="48">IFERROR(IF(SUM(H46:J46)&gt;0.01,1-EXP(-SUM(H46:J46)),SUM(H46:J46)),".")</f>
        <v>1</v>
      </c>
      <c r="O46" s="30">
        <f t="shared" ref="O46:S46" si="49">IFERROR(O10/$B46,0)</f>
        <v>4.9753766233766238E-5</v>
      </c>
      <c r="P46" s="30">
        <f t="shared" si="49"/>
        <v>7.7529581529581511E-5</v>
      </c>
      <c r="Q46" s="30">
        <f t="shared" si="49"/>
        <v>5.5366265416759952E-5</v>
      </c>
      <c r="R46" s="30">
        <f t="shared" si="49"/>
        <v>5.0638919313618115E-5</v>
      </c>
      <c r="S46" s="30">
        <f t="shared" si="49"/>
        <v>1.3033370352742084E-4</v>
      </c>
      <c r="T46" s="38">
        <f>IFERROR(up_RadSpec!$F$10*T10,".")*$B46</f>
        <v>1.0049490477781491</v>
      </c>
      <c r="U46" s="38">
        <f>IFERROR(up_RadSpec!$M$10*U10,".")*$B46</f>
        <v>0.64491512805241247</v>
      </c>
      <c r="V46" s="38">
        <f>IFERROR(up_RadSpec!$N$10*V10,".")*$B46</f>
        <v>0.90307698421834481</v>
      </c>
      <c r="W46" s="38">
        <f>IFERROR(up_RadSpec!$O$10*W10,".")*$B46</f>
        <v>0.98738284066330229</v>
      </c>
      <c r="X46" s="38">
        <f>IFERROR(up_RadSpec!$K$10*X10,".")*$B46</f>
        <v>0.38363062390443414</v>
      </c>
      <c r="Y46" s="47">
        <f t="shared" ref="Y46:AC47" si="50">IFERROR(IF(T46&gt;0.01,1-EXP(-T46),T46),".")</f>
        <v>0.63393671393338713</v>
      </c>
      <c r="Z46" s="47">
        <f t="shared" si="50"/>
        <v>0.4752929268719418</v>
      </c>
      <c r="AA46" s="47">
        <f t="shared" si="50"/>
        <v>0.59467942599202628</v>
      </c>
      <c r="AB46" s="47">
        <f t="shared" si="50"/>
        <v>0.62744955989930995</v>
      </c>
      <c r="AC46" s="47">
        <f t="shared" si="50"/>
        <v>0.31861693268124913</v>
      </c>
      <c r="AD46" s="30">
        <f t="shared" ref="AD46:AF46" si="51">IFERROR(AD10/$B46,0)</f>
        <v>2.9090909090909094E-10</v>
      </c>
      <c r="AE46" s="30">
        <f t="shared" si="51"/>
        <v>6.3709090909090908E-6</v>
      </c>
      <c r="AF46" s="30">
        <f t="shared" si="51"/>
        <v>2.9089580799548386E-10</v>
      </c>
      <c r="AG46" s="38">
        <f>IFERROR(up_RadSpec!$G$10*AG10,".")*$B$46</f>
        <v>171875</v>
      </c>
      <c r="AH46" s="38">
        <f>IFERROR(up_RadSpec!$J$10*AH10,".")*$B$46</f>
        <v>7.8481735159817356</v>
      </c>
      <c r="AI46" s="47">
        <f>IFERROR(IF(AG46&gt;0.01,1-EXP(-AG46),AG46),".")</f>
        <v>1</v>
      </c>
      <c r="AJ46" s="47">
        <f>IFERROR(IF(AH46&gt;0.01,1-EXP(-AH46),AH46),".")</f>
        <v>0.99960953550549536</v>
      </c>
      <c r="AK46" s="47">
        <f>IFERROR(IF(SUM(AG46:AH46)&gt;0.01,1-EXP(-SUM(AG46:AH46)),SUM(AG46:AH46)),".")</f>
        <v>1</v>
      </c>
    </row>
    <row r="47" spans="1:37" x14ac:dyDescent="0.25">
      <c r="A47" s="29" t="s">
        <v>304</v>
      </c>
      <c r="B47" s="32">
        <v>0.94399</v>
      </c>
      <c r="C47" s="2"/>
      <c r="D47" s="30">
        <f>IFERROR(D6/$B$47,0)</f>
        <v>7.7042418592646894E-8</v>
      </c>
      <c r="E47" s="30">
        <f>IFERROR(E6/$B$47,0)</f>
        <v>9.5605166251270892E-5</v>
      </c>
      <c r="F47" s="30">
        <f>IFERROR(F6/$B$47,0)</f>
        <v>4.4965231915589747E-5</v>
      </c>
      <c r="G47" s="30">
        <f t="shared" si="22"/>
        <v>7.6848819736834048E-8</v>
      </c>
      <c r="H47" s="38">
        <f>IFERROR(up_RadSpec!$I$6*H6,".")*$B$47</f>
        <v>648.99312499999996</v>
      </c>
      <c r="I47" s="38">
        <f>IFERROR(up_RadSpec!$G$6*I6,".")*$B$47</f>
        <v>0.52298429008103264</v>
      </c>
      <c r="J47" s="38">
        <f>IFERROR(up_RadSpec!$F$6*J6,".")*$B$47</f>
        <v>1.1119702461195291</v>
      </c>
      <c r="K47" s="47">
        <f t="shared" si="47"/>
        <v>1</v>
      </c>
      <c r="L47" s="47">
        <f t="shared" si="47"/>
        <v>0.40725102903943111</v>
      </c>
      <c r="M47" s="47">
        <f t="shared" si="47"/>
        <v>0.67108971195642497</v>
      </c>
      <c r="N47" s="47">
        <f t="shared" si="48"/>
        <v>1</v>
      </c>
      <c r="O47" s="30">
        <f t="shared" ref="O47:S47" si="52">IFERROR(O6/$B$47,0)</f>
        <v>4.4965231915589747E-5</v>
      </c>
      <c r="P47" s="30">
        <f t="shared" si="52"/>
        <v>8.3942617024007128E-5</v>
      </c>
      <c r="Q47" s="30">
        <f t="shared" si="52"/>
        <v>5.9319032191504114E-5</v>
      </c>
      <c r="R47" s="30">
        <f t="shared" si="52"/>
        <v>4.9054619971684757E-5</v>
      </c>
      <c r="S47" s="30">
        <f t="shared" si="52"/>
        <v>1.4100299060944838E-4</v>
      </c>
      <c r="T47" s="38">
        <f>IFERROR(up_RadSpec!$F$6*T6,".")*$B47</f>
        <v>1.1119702461195291</v>
      </c>
      <c r="U47" s="38">
        <f>IFERROR(up_RadSpec!$M$6*U6,".")*$B47</f>
        <v>0.59564499860303721</v>
      </c>
      <c r="V47" s="38">
        <f>IFERROR(up_RadSpec!$N$6*V6,".")*$B47</f>
        <v>0.84289979375558999</v>
      </c>
      <c r="W47" s="38">
        <f>IFERROR(up_RadSpec!$O$6*W6,".")*$B47</f>
        <v>1.0192719876101566</v>
      </c>
      <c r="X47" s="38">
        <f>IFERROR(up_RadSpec!$K$6*X6,".")*$B47</f>
        <v>0.35460240796232867</v>
      </c>
      <c r="Y47" s="47">
        <f t="shared" si="50"/>
        <v>0.67108971195642497</v>
      </c>
      <c r="Z47" s="47">
        <f t="shared" si="50"/>
        <v>0.44879307650989453</v>
      </c>
      <c r="AA47" s="47">
        <f t="shared" si="50"/>
        <v>0.56953953471961793</v>
      </c>
      <c r="AB47" s="47">
        <f t="shared" si="50"/>
        <v>0.63914244666154052</v>
      </c>
      <c r="AC47" s="47">
        <f t="shared" si="50"/>
        <v>0.29854772038548705</v>
      </c>
      <c r="AD47" s="30">
        <f t="shared" ref="AD47:AF47" si="53">IFERROR(AD6/$B$47,0)</f>
        <v>3.0816967437058755E-10</v>
      </c>
      <c r="AE47" s="30">
        <f t="shared" si="53"/>
        <v>6.7489158687158668E-6</v>
      </c>
      <c r="AF47" s="30">
        <f t="shared" si="53"/>
        <v>3.0815560333847168E-10</v>
      </c>
      <c r="AG47" s="38">
        <f>IFERROR(up_RadSpec!$G$6*AG6,".")*$B$47</f>
        <v>162248.28125</v>
      </c>
      <c r="AH47" s="38">
        <f>IFERROR(up_RadSpec!$J$6*AH6,".")*$B$47</f>
        <v>7.4085973173515987</v>
      </c>
      <c r="AI47" s="47">
        <f>IFERROR(IF(AG47&gt;0.01,1-EXP(-AG47),AG47),".")</f>
        <v>1</v>
      </c>
      <c r="AJ47" s="47">
        <f>IFERROR(IF(AH47&gt;0.01,1-EXP(-AH47),AH47),".")</f>
        <v>0.99939397984741163</v>
      </c>
      <c r="AK47" s="47">
        <f>IFERROR(IF(SUM(AG47:AH47)&gt;0.01,1-EXP(-SUM(AG47:AH47)),SUM(AG47:AH47)),".")</f>
        <v>1</v>
      </c>
    </row>
    <row r="48" spans="1:37" x14ac:dyDescent="0.25">
      <c r="A48" s="26" t="s">
        <v>33</v>
      </c>
      <c r="B48" s="26" t="s">
        <v>289</v>
      </c>
      <c r="C48" s="112"/>
      <c r="D48" s="27">
        <f>1/SUM(1/D49,1/D50,1/D51,1/D52,1/D53,1/D54,1/D55,1/D56,1/D57,1/D58,1/D59,1/D60,1/D61,1/D62)</f>
        <v>8.0808068615041138E-9</v>
      </c>
      <c r="E48" s="27">
        <f t="shared" ref="E48:G48" si="54">1/SUM(1/E49,1/E50,1/E51,1/E52,1/E53,1/E54,1/E55,1/E56,1/E57,1/E58,1/E59,1/E60,1/E61,1/E62)</f>
        <v>1.0027811919085404E-5</v>
      </c>
      <c r="F48" s="27">
        <f>1/SUM(1/F49,1/F50,1/F52,1/F54,1/F55,1/F56,1/F57,1/F58,1/F59,1/F60,1/F61,1/F62)</f>
        <v>5.9730603257587581E-6</v>
      </c>
      <c r="G48" s="28">
        <f t="shared" si="54"/>
        <v>8.0634014775225197E-9</v>
      </c>
      <c r="H48" s="45"/>
      <c r="I48" s="45"/>
      <c r="J48" s="45"/>
      <c r="K48" s="46">
        <f>IFERROR(IF(SUM(H49:H62)&gt;0.01,1-EXP(-SUM(H49:H62)),SUM(H49:H62)),".")</f>
        <v>1</v>
      </c>
      <c r="L48" s="46">
        <f>IFERROR(IF(SUM(I49:I62)&gt;0.01,1-EXP(-SUM(I49:I62)),SUM(I49:I62)),".")</f>
        <v>0.99316796437675869</v>
      </c>
      <c r="M48" s="46">
        <f>IFERROR(IF(SUM(J49:J62)&gt;0.01,1-EXP(-SUM(J49:J62)),SUM(J49:J62)),".")</f>
        <v>0.99976849713345395</v>
      </c>
      <c r="N48" s="46">
        <f>IFERROR(IF(SUM(H49:J62)&gt;0.01,1-EXP(-SUM(H49:J62)),SUM(H49:J62)),".")</f>
        <v>1</v>
      </c>
      <c r="O48" s="27">
        <f t="shared" ref="O48:S48" si="55">1/SUM(1/O49,1/O50,1/O52,1/O54,1/O55,1/O56,1/O57,1/O58,1/O59,1/O60,1/O61,1/O62)</f>
        <v>5.9730603257587581E-6</v>
      </c>
      <c r="P48" s="27">
        <f t="shared" si="55"/>
        <v>1.1243919358138259E-5</v>
      </c>
      <c r="Q48" s="27">
        <f t="shared" si="55"/>
        <v>7.9968513615528242E-6</v>
      </c>
      <c r="R48" s="27">
        <f t="shared" si="55"/>
        <v>6.7669381505905345E-6</v>
      </c>
      <c r="S48" s="27">
        <f t="shared" si="55"/>
        <v>1.9339257525101662E-5</v>
      </c>
      <c r="T48" s="45"/>
      <c r="U48" s="45"/>
      <c r="V48" s="45"/>
      <c r="W48" s="45"/>
      <c r="X48" s="45"/>
      <c r="Y48" s="46">
        <f>IFERROR(IF(SUM(T49:T62)&gt;0.01,1-EXP(-SUM(T49:T62)),SUM(T49:T62)),".")</f>
        <v>0.99976849713345395</v>
      </c>
      <c r="Z48" s="46">
        <f t="shared" ref="Z48:AC48" si="56">IFERROR(IF(SUM(U49:U62)&gt;0.01,1-EXP(-SUM(U49:U62)),SUM(U49:U62)),".")</f>
        <v>0.98828456378872975</v>
      </c>
      <c r="AA48" s="46">
        <f t="shared" si="56"/>
        <v>0.99807429056663943</v>
      </c>
      <c r="AB48" s="46">
        <f t="shared" si="56"/>
        <v>0.99938190359314594</v>
      </c>
      <c r="AC48" s="46">
        <f t="shared" si="56"/>
        <v>0.92463517797221895</v>
      </c>
      <c r="AD48" s="27">
        <f t="shared" ref="AD48:AF48" si="57">1/SUM(1/AD49,1/AD50,1/AD51,1/AD52,1/AD53,1/AD54,1/AD55,1/AD56,1/AD57,1/AD58,1/AD59,1/AD60,1/AD61,1/AD62)</f>
        <v>3.2323227446016452E-11</v>
      </c>
      <c r="AE48" s="27">
        <f t="shared" si="57"/>
        <v>7.0787868106776008E-7</v>
      </c>
      <c r="AF48" s="28">
        <f t="shared" si="57"/>
        <v>3.232175156694947E-11</v>
      </c>
      <c r="AG48" s="45"/>
      <c r="AH48" s="45"/>
      <c r="AI48" s="46">
        <f>IFERROR(IF(SUM(AG49:AG62)&gt;0.01,1-EXP(-SUM(AG49:AG62)),SUM(AG49:AG62)),".")</f>
        <v>1</v>
      </c>
      <c r="AJ48" s="46">
        <f>IFERROR(IF(SUM(AH49:AH62)&gt;0.01,1-EXP(-SUM(AH49:AH62)),SUM(AH49:AH62)),".")</f>
        <v>1</v>
      </c>
      <c r="AK48" s="46">
        <f>IFERROR(IF(SUM(AG49:AH62)&gt;0.01,1-EXP(-SUM(AG49:AH62)),SUM(AG49:AH62)),".")</f>
        <v>1</v>
      </c>
    </row>
    <row r="49" spans="1:37" x14ac:dyDescent="0.25">
      <c r="A49" s="29" t="s">
        <v>305</v>
      </c>
      <c r="B49" s="24">
        <v>1</v>
      </c>
      <c r="C49" s="109"/>
      <c r="D49" s="30">
        <f>IFERROR(D23/$B49,0)</f>
        <v>7.272727272727274E-8</v>
      </c>
      <c r="E49" s="30">
        <f>IFERROR(E23/$B49,0)</f>
        <v>9.0250320889537203E-5</v>
      </c>
      <c r="F49" s="30">
        <f>IFERROR(F23/$B49,0)</f>
        <v>3.5003923532849144E-5</v>
      </c>
      <c r="G49" s="30">
        <f t="shared" si="22"/>
        <v>7.2518164521584467E-8</v>
      </c>
      <c r="H49" s="38">
        <f>IFERROR(up_RadSpec!$I$23*H23,".")*$B$49</f>
        <v>687.5</v>
      </c>
      <c r="I49" s="38">
        <f>IFERROR(up_RadSpec!$G$23*I23,".")*$B$49</f>
        <v>0.55401465066476618</v>
      </c>
      <c r="J49" s="38">
        <f>IFERROR(up_RadSpec!$F$23*J23,".")*$B$49</f>
        <v>1.428411302323807</v>
      </c>
      <c r="K49" s="47">
        <f t="shared" ref="K49:M62" si="58">IFERROR(IF(H49&gt;0.01,1-EXP(-H49),H49),".")</f>
        <v>1</v>
      </c>
      <c r="L49" s="47">
        <f t="shared" si="58"/>
        <v>0.42536179830386023</v>
      </c>
      <c r="M49" s="47">
        <f t="shared" si="58"/>
        <v>0.7603105860644801</v>
      </c>
      <c r="N49" s="47">
        <f t="shared" ref="N49:N62" si="59">IFERROR(IF(SUM(H49:J49)&gt;0.01,1-EXP(-SUM(H49:J49)),SUM(H49:J49)),".")</f>
        <v>1</v>
      </c>
      <c r="O49" s="30">
        <f t="shared" ref="O49:S49" si="60">IFERROR(O23/$B49,0)</f>
        <v>3.5003923532849144E-5</v>
      </c>
      <c r="P49" s="30">
        <f t="shared" si="60"/>
        <v>6.2307642417036043E-5</v>
      </c>
      <c r="Q49" s="30">
        <f t="shared" si="60"/>
        <v>4.4059313285674305E-5</v>
      </c>
      <c r="R49" s="30">
        <f t="shared" si="60"/>
        <v>3.6055144855144853E-5</v>
      </c>
      <c r="S49" s="30">
        <f t="shared" si="60"/>
        <v>9.8081956878073384E-5</v>
      </c>
      <c r="T49" s="38">
        <f>IFERROR(up_RadSpec!$F$23*T23,".")*$B$49</f>
        <v>1.428411302323807</v>
      </c>
      <c r="U49" s="38">
        <f>IFERROR(up_RadSpec!$M$23*U23,".")*$B$49</f>
        <v>0.80246977835144506</v>
      </c>
      <c r="V49" s="38">
        <f>IFERROR(up_RadSpec!$N$23*V23,".")*$B$49</f>
        <v>1.1348338471779427</v>
      </c>
      <c r="W49" s="38">
        <f>IFERROR(up_RadSpec!$O$23*W23,".")*$B$49</f>
        <v>1.3867646406880352</v>
      </c>
      <c r="X49" s="38">
        <f>IFERROR(up_RadSpec!$K$23*X23,".")*$B$49</f>
        <v>0.50977775720926422</v>
      </c>
      <c r="Y49" s="47">
        <f t="shared" ref="Y49:AC62" si="61">IFERROR(IF(T49&gt;0.01,1-EXP(-T49),T49),".")</f>
        <v>0.7603105860644801</v>
      </c>
      <c r="Z49" s="47">
        <f t="shared" si="61"/>
        <v>0.55177940954898408</v>
      </c>
      <c r="AA49" s="47">
        <f t="shared" si="61"/>
        <v>0.67852446903611985</v>
      </c>
      <c r="AB49" s="47">
        <f t="shared" si="61"/>
        <v>0.75011754225101024</v>
      </c>
      <c r="AC49" s="47">
        <f t="shared" si="61"/>
        <v>0.39937095054357952</v>
      </c>
      <c r="AD49" s="30">
        <f t="shared" ref="AD49:AF49" si="62">IFERROR(AD23/$B49,0)</f>
        <v>2.9090909090909094E-10</v>
      </c>
      <c r="AE49" s="30">
        <f t="shared" si="62"/>
        <v>6.3709090909090908E-6</v>
      </c>
      <c r="AF49" s="30">
        <f t="shared" si="62"/>
        <v>2.9089580799548386E-10</v>
      </c>
      <c r="AG49" s="38">
        <f>IFERROR(up_RadSpec!$G$23*AG23,".")*$B$49</f>
        <v>171875</v>
      </c>
      <c r="AH49" s="38">
        <f>IFERROR(up_RadSpec!$J$23*AH23,".")*$B$49</f>
        <v>7.8481735159817356</v>
      </c>
      <c r="AI49" s="47">
        <f t="shared" ref="AI49:AJ62" si="63">IFERROR(IF(AG49&gt;0.01,1-EXP(-AG49),AG49),".")</f>
        <v>1</v>
      </c>
      <c r="AJ49" s="47">
        <f t="shared" si="63"/>
        <v>0.99960953550549536</v>
      </c>
      <c r="AK49" s="47">
        <f t="shared" ref="AK49:AK62" si="64">IFERROR(IF(SUM(AG49:AH49)&gt;0.01,1-EXP(-SUM(AG49:AH49)),SUM(AG49:AH49)),".")</f>
        <v>1</v>
      </c>
    </row>
    <row r="50" spans="1:37" x14ac:dyDescent="0.25">
      <c r="A50" s="29" t="s">
        <v>306</v>
      </c>
      <c r="B50" s="24">
        <v>1</v>
      </c>
      <c r="C50" s="109"/>
      <c r="D50" s="30">
        <f>IFERROR(D25/$B50,0)</f>
        <v>7.272727272727274E-8</v>
      </c>
      <c r="E50" s="30">
        <f>IFERROR(E25/$B50,0)</f>
        <v>9.0250320889537203E-5</v>
      </c>
      <c r="F50" s="30">
        <f>IFERROR(F25/$B50,0)</f>
        <v>5.1171960569550945E-5</v>
      </c>
      <c r="G50" s="30">
        <f t="shared" si="22"/>
        <v>7.2565663742643228E-8</v>
      </c>
      <c r="H50" s="38">
        <f>IFERROR(up_RadSpec!$I$25*H25,".")*$B$50</f>
        <v>687.5</v>
      </c>
      <c r="I50" s="38">
        <f>IFERROR(up_RadSpec!$G$25*I25,".")*$B$50</f>
        <v>0.55401465066476618</v>
      </c>
      <c r="J50" s="38">
        <f>IFERROR(up_RadSpec!$F$25*J25,".")*$B$50</f>
        <v>0.97709760273972601</v>
      </c>
      <c r="K50" s="47">
        <f t="shared" si="58"/>
        <v>1</v>
      </c>
      <c r="L50" s="47">
        <f t="shared" si="58"/>
        <v>0.42536179830386023</v>
      </c>
      <c r="M50" s="47">
        <f t="shared" si="58"/>
        <v>0.62359801691963745</v>
      </c>
      <c r="N50" s="47">
        <f t="shared" si="59"/>
        <v>1</v>
      </c>
      <c r="O50" s="30">
        <f t="shared" ref="O50:S50" si="65">IFERROR(O25/$B50,0)</f>
        <v>5.1171960569550945E-5</v>
      </c>
      <c r="P50" s="30">
        <f t="shared" si="65"/>
        <v>9.1638362553616787E-5</v>
      </c>
      <c r="Q50" s="30">
        <f t="shared" si="65"/>
        <v>6.5732694272020137E-5</v>
      </c>
      <c r="R50" s="30">
        <f t="shared" si="65"/>
        <v>5.8697641341709148E-5</v>
      </c>
      <c r="S50" s="30">
        <f t="shared" si="65"/>
        <v>1.6429752066115703E-4</v>
      </c>
      <c r="T50" s="38">
        <f>IFERROR(up_RadSpec!$F$25*T25,".")*$B$50</f>
        <v>0.97709760273972601</v>
      </c>
      <c r="U50" s="38">
        <f>IFERROR(up_RadSpec!$M$25*U25,".")*$B$50</f>
        <v>0.54562301864293428</v>
      </c>
      <c r="V50" s="38">
        <f>IFERROR(up_RadSpec!$N$25*V25,".")*$B$50</f>
        <v>0.76065648234478467</v>
      </c>
      <c r="W50" s="38">
        <f>IFERROR(up_RadSpec!$O$25*W25,".")*$B$50</f>
        <v>0.85182298397518741</v>
      </c>
      <c r="X50" s="38">
        <f>IFERROR(up_RadSpec!$K$25*X25,".")*$B$50</f>
        <v>0.30432595573440646</v>
      </c>
      <c r="Y50" s="47">
        <f t="shared" si="61"/>
        <v>0.62359801691963745</v>
      </c>
      <c r="Z50" s="47">
        <f t="shared" si="61"/>
        <v>0.42051935639105265</v>
      </c>
      <c r="AA50" s="47">
        <f t="shared" si="61"/>
        <v>0.53264048698983768</v>
      </c>
      <c r="AB50" s="47">
        <f t="shared" si="61"/>
        <v>0.57336352884660768</v>
      </c>
      <c r="AC50" s="47">
        <f t="shared" si="61"/>
        <v>0.26237960433647745</v>
      </c>
      <c r="AD50" s="30">
        <f t="shared" ref="AD50:AF50" si="66">IFERROR(AD25/$B50,0)</f>
        <v>2.9090909090909094E-10</v>
      </c>
      <c r="AE50" s="30">
        <f t="shared" si="66"/>
        <v>6.3709090909090908E-6</v>
      </c>
      <c r="AF50" s="30">
        <f t="shared" si="66"/>
        <v>2.9089580799548386E-10</v>
      </c>
      <c r="AG50" s="38">
        <f>IFERROR(up_RadSpec!$G$25*AG$25,".")*$B$50</f>
        <v>171875</v>
      </c>
      <c r="AH50" s="38">
        <f>IFERROR(up_RadSpec!$J$25*AH25,".")*$B$50</f>
        <v>7.8481735159817356</v>
      </c>
      <c r="AI50" s="47">
        <f t="shared" si="63"/>
        <v>1</v>
      </c>
      <c r="AJ50" s="47">
        <f t="shared" si="63"/>
        <v>0.99960953550549536</v>
      </c>
      <c r="AK50" s="47">
        <f t="shared" si="64"/>
        <v>1</v>
      </c>
    </row>
    <row r="51" spans="1:37" x14ac:dyDescent="0.25">
      <c r="A51" s="29" t="s">
        <v>307</v>
      </c>
      <c r="B51" s="24">
        <v>1</v>
      </c>
      <c r="C51" s="109"/>
      <c r="D51" s="30">
        <f>IFERROR(D21/$B51,0)</f>
        <v>7.272727272727274E-8</v>
      </c>
      <c r="E51" s="30">
        <f>IFERROR(E21/$B51,0)</f>
        <v>9.0250320889537203E-5</v>
      </c>
      <c r="F51" s="30">
        <f>IFERROR(F21/$B51,0)</f>
        <v>0</v>
      </c>
      <c r="G51" s="30">
        <f t="shared" si="22"/>
        <v>7.26687134081846E-8</v>
      </c>
      <c r="H51" s="38">
        <f>IFERROR(up_RadSpec!$I$21*H21,".")*$B$51</f>
        <v>687.5</v>
      </c>
      <c r="I51" s="38">
        <f>IFERROR(up_RadSpec!$G$21*I21,".")*$B$51</f>
        <v>0.55401465066476618</v>
      </c>
      <c r="J51" s="38">
        <f>IFERROR(up_RadSpec!$F$21*J21,".")*$B$51</f>
        <v>0</v>
      </c>
      <c r="K51" s="47">
        <f t="shared" si="58"/>
        <v>1</v>
      </c>
      <c r="L51" s="47">
        <f t="shared" si="58"/>
        <v>0.42536179830386023</v>
      </c>
      <c r="M51" s="47">
        <f t="shared" si="58"/>
        <v>0</v>
      </c>
      <c r="N51" s="47">
        <f t="shared" si="59"/>
        <v>1</v>
      </c>
      <c r="O51" s="30">
        <f t="shared" ref="O51:S51" si="67">IFERROR(O21/$B51,0)</f>
        <v>0</v>
      </c>
      <c r="P51" s="30">
        <f t="shared" si="67"/>
        <v>0</v>
      </c>
      <c r="Q51" s="30">
        <f t="shared" si="67"/>
        <v>0</v>
      </c>
      <c r="R51" s="30">
        <f t="shared" si="67"/>
        <v>0</v>
      </c>
      <c r="S51" s="30">
        <f t="shared" si="67"/>
        <v>0</v>
      </c>
      <c r="T51" s="38">
        <f>IFERROR(up_RadSpec!$F$21*T21,".")*$B$51</f>
        <v>0</v>
      </c>
      <c r="U51" s="38">
        <f>IFERROR(up_RadSpec!$M$21*U21,".")*$B$51</f>
        <v>0</v>
      </c>
      <c r="V51" s="38">
        <f>IFERROR(up_RadSpec!$N$21*V21,".")*$B$51</f>
        <v>0</v>
      </c>
      <c r="W51" s="38">
        <f>IFERROR(up_RadSpec!$O$21*W21,".")*$B$51</f>
        <v>0</v>
      </c>
      <c r="X51" s="38">
        <f>IFERROR(up_RadSpec!$K$21*X21,".")*$B$51</f>
        <v>0</v>
      </c>
      <c r="Y51" s="47">
        <f t="shared" si="61"/>
        <v>0</v>
      </c>
      <c r="Z51" s="47">
        <f t="shared" si="61"/>
        <v>0</v>
      </c>
      <c r="AA51" s="47">
        <f t="shared" si="61"/>
        <v>0</v>
      </c>
      <c r="AB51" s="47">
        <f t="shared" si="61"/>
        <v>0</v>
      </c>
      <c r="AC51" s="47">
        <f t="shared" si="61"/>
        <v>0</v>
      </c>
      <c r="AD51" s="30">
        <f t="shared" ref="AD51:AF51" si="68">IFERROR(AD21/$B51,0)</f>
        <v>2.9090909090909094E-10</v>
      </c>
      <c r="AE51" s="30">
        <f t="shared" si="68"/>
        <v>6.3709090909090908E-6</v>
      </c>
      <c r="AF51" s="30">
        <f t="shared" si="68"/>
        <v>2.9089580799548386E-10</v>
      </c>
      <c r="AG51" s="38">
        <f>IFERROR(up_RadSpec!$G$21*AG21,".")*$B$51</f>
        <v>171875</v>
      </c>
      <c r="AH51" s="38">
        <f>IFERROR(up_RadSpec!$J$21*AH21,".")*$B$51</f>
        <v>7.8481735159817356</v>
      </c>
      <c r="AI51" s="47">
        <f t="shared" si="63"/>
        <v>1</v>
      </c>
      <c r="AJ51" s="47">
        <f t="shared" si="63"/>
        <v>0.99960953550549536</v>
      </c>
      <c r="AK51" s="47">
        <f t="shared" si="64"/>
        <v>1</v>
      </c>
    </row>
    <row r="52" spans="1:37" x14ac:dyDescent="0.25">
      <c r="A52" s="29" t="s">
        <v>308</v>
      </c>
      <c r="B52" s="32">
        <v>0.99980000000000002</v>
      </c>
      <c r="C52" s="109"/>
      <c r="D52" s="30">
        <f>IFERROR(D17/$B52,0)</f>
        <v>7.2741821091491036E-8</v>
      </c>
      <c r="E52" s="30">
        <f>IFERROR(E17/$B52,0)</f>
        <v>9.0268374564450091E-5</v>
      </c>
      <c r="F52" s="30">
        <f>IFERROR(F17/$B52,0)</f>
        <v>7.0342285694447007E-5</v>
      </c>
      <c r="G52" s="30">
        <f t="shared" si="22"/>
        <v>7.2608225458765041E-8</v>
      </c>
      <c r="H52" s="38">
        <f>IFERROR(up_RadSpec!$I$17*H17,".")*$B$52</f>
        <v>687.36250000000007</v>
      </c>
      <c r="I52" s="38">
        <f>IFERROR(up_RadSpec!$G$17*I17,".")*$B$52</f>
        <v>0.55390384773463319</v>
      </c>
      <c r="J52" s="38">
        <f>IFERROR(up_RadSpec!$F$17*J17,".")*$B$52</f>
        <v>0.71080999865699757</v>
      </c>
      <c r="K52" s="47">
        <f t="shared" si="58"/>
        <v>1</v>
      </c>
      <c r="L52" s="47">
        <f t="shared" si="58"/>
        <v>0.42529812317971594</v>
      </c>
      <c r="M52" s="47">
        <f t="shared" si="58"/>
        <v>0.50875387243889236</v>
      </c>
      <c r="N52" s="47">
        <f t="shared" si="59"/>
        <v>1</v>
      </c>
      <c r="O52" s="30">
        <f t="shared" ref="O52:S52" si="69">IFERROR(O17/$B52,0)</f>
        <v>7.0342285694447007E-5</v>
      </c>
      <c r="P52" s="30">
        <f t="shared" si="69"/>
        <v>1.2293785520792731E-4</v>
      </c>
      <c r="Q52" s="30">
        <f t="shared" si="69"/>
        <v>9.2623153705958522E-5</v>
      </c>
      <c r="R52" s="30">
        <f t="shared" si="69"/>
        <v>8.2363423450425844E-5</v>
      </c>
      <c r="S52" s="30">
        <f t="shared" si="69"/>
        <v>2.3556566311846343E-4</v>
      </c>
      <c r="T52" s="38">
        <f>IFERROR(up_RadSpec!$F$17*T17,".")*$B$52</f>
        <v>0.71080999865699757</v>
      </c>
      <c r="U52" s="38">
        <f>IFERROR(up_RadSpec!$M$17*U17,".")*$B$52</f>
        <v>0.40670955187426988</v>
      </c>
      <c r="V52" s="38">
        <f>IFERROR(up_RadSpec!$N$17*V17,".")*$B$52</f>
        <v>0.53982182639483445</v>
      </c>
      <c r="W52" s="38">
        <f>IFERROR(up_RadSpec!$O$17*W17,".")*$B$52</f>
        <v>0.60706558694824997</v>
      </c>
      <c r="X52" s="38">
        <f>IFERROR(up_RadSpec!$K$17*X17,".")*$B$52</f>
        <v>0.21225504319301217</v>
      </c>
      <c r="Y52" s="47">
        <f t="shared" si="61"/>
        <v>0.50875387243889236</v>
      </c>
      <c r="Z52" s="47">
        <f t="shared" si="61"/>
        <v>0.33416244651137428</v>
      </c>
      <c r="AA52" s="47">
        <f t="shared" si="61"/>
        <v>0.41714790801851698</v>
      </c>
      <c r="AB52" s="47">
        <f t="shared" si="61"/>
        <v>0.45505237341634774</v>
      </c>
      <c r="AC52" s="47">
        <f t="shared" si="61"/>
        <v>0.19124159706486266</v>
      </c>
      <c r="AD52" s="30">
        <f t="shared" ref="AD52:AF52" si="70">IFERROR(AD17/$B52,0)</f>
        <v>2.9096728436596413E-10</v>
      </c>
      <c r="AE52" s="30">
        <f t="shared" si="70"/>
        <v>6.3721835276146137E-6</v>
      </c>
      <c r="AF52" s="30">
        <f t="shared" si="70"/>
        <v>2.9095399879524292E-10</v>
      </c>
      <c r="AG52" s="38">
        <f>IFERROR(up_RadSpec!$G$17*AG17,".")*$B$52</f>
        <v>171840.625</v>
      </c>
      <c r="AH52" s="38">
        <f>IFERROR(up_RadSpec!$J$17*AH17,".")*$B$52</f>
        <v>7.846603881278539</v>
      </c>
      <c r="AI52" s="47">
        <f t="shared" si="63"/>
        <v>1</v>
      </c>
      <c r="AJ52" s="47">
        <f t="shared" si="63"/>
        <v>0.99960892213761854</v>
      </c>
      <c r="AK52" s="47">
        <f t="shared" si="64"/>
        <v>1</v>
      </c>
    </row>
    <row r="53" spans="1:37" x14ac:dyDescent="0.25">
      <c r="A53" s="29" t="s">
        <v>309</v>
      </c>
      <c r="B53" s="24">
        <v>2.0000000000000001E-4</v>
      </c>
      <c r="C53" s="109"/>
      <c r="D53" s="30">
        <f>IFERROR(D5/$B53,0)</f>
        <v>3.6363636363636367E-4</v>
      </c>
      <c r="E53" s="30">
        <f>IFERROR(E5/$B53,0)</f>
        <v>0.45125160444768597</v>
      </c>
      <c r="F53" s="30">
        <f>IFERROR(F5/$B53,0)</f>
        <v>0</v>
      </c>
      <c r="G53" s="30">
        <f t="shared" si="22"/>
        <v>3.6334356704092303E-4</v>
      </c>
      <c r="H53" s="38">
        <f>IFERROR(up_RadSpec!$I$5*H5,".")*$B$53</f>
        <v>0.13750000000000001</v>
      </c>
      <c r="I53" s="38">
        <f>IFERROR(up_RadSpec!$G$5*I5,".")*$B$53</f>
        <v>1.1080293013295324E-4</v>
      </c>
      <c r="J53" s="38">
        <f>IFERROR(up_RadSpec!$F$5*J5,".")*$B$53</f>
        <v>0</v>
      </c>
      <c r="K53" s="47">
        <f t="shared" si="58"/>
        <v>0.12846565000284216</v>
      </c>
      <c r="L53" s="47">
        <f t="shared" si="58"/>
        <v>1.1080293013295324E-4</v>
      </c>
      <c r="M53" s="47">
        <f t="shared" si="58"/>
        <v>0</v>
      </c>
      <c r="N53" s="47">
        <f t="shared" si="59"/>
        <v>0.12856221321269123</v>
      </c>
      <c r="O53" s="30">
        <f t="shared" ref="O53:S53" si="71">IFERROR(O5/$B53,0)</f>
        <v>0</v>
      </c>
      <c r="P53" s="30">
        <f t="shared" si="71"/>
        <v>0</v>
      </c>
      <c r="Q53" s="30">
        <f t="shared" si="71"/>
        <v>0</v>
      </c>
      <c r="R53" s="30">
        <f t="shared" si="71"/>
        <v>0</v>
      </c>
      <c r="S53" s="30">
        <f t="shared" si="71"/>
        <v>0</v>
      </c>
      <c r="T53" s="38">
        <f>IFERROR(up_RadSpec!$F$5*T5,".")*$B$53</f>
        <v>0</v>
      </c>
      <c r="U53" s="38">
        <f>IFERROR(up_RadSpec!$M$5*U5,".")*$B$53</f>
        <v>0</v>
      </c>
      <c r="V53" s="38">
        <f>IFERROR(up_RadSpec!$N$5*V5,".")*$B$53</f>
        <v>0</v>
      </c>
      <c r="W53" s="38">
        <f>IFERROR(up_RadSpec!$O$5*W5,".")*$B$53</f>
        <v>0</v>
      </c>
      <c r="X53" s="38">
        <f>IFERROR(up_RadSpec!$K$5*X5,".")*$B$53</f>
        <v>0</v>
      </c>
      <c r="Y53" s="47">
        <f t="shared" si="61"/>
        <v>0</v>
      </c>
      <c r="Z53" s="47">
        <f t="shared" si="61"/>
        <v>0</v>
      </c>
      <c r="AA53" s="47">
        <f t="shared" si="61"/>
        <v>0</v>
      </c>
      <c r="AB53" s="47">
        <f t="shared" si="61"/>
        <v>0</v>
      </c>
      <c r="AC53" s="47">
        <f t="shared" si="61"/>
        <v>0</v>
      </c>
      <c r="AD53" s="30">
        <f t="shared" ref="AD53:AF53" si="72">IFERROR(AD5/$B53,0)</f>
        <v>1.4545454545454546E-6</v>
      </c>
      <c r="AE53" s="30">
        <f t="shared" si="72"/>
        <v>3.1854545454545455E-2</v>
      </c>
      <c r="AF53" s="30">
        <f t="shared" si="72"/>
        <v>1.4544790399774192E-6</v>
      </c>
      <c r="AG53" s="38">
        <f>IFERROR(up_RadSpec!$G$5*AG5,".")*$B$53</f>
        <v>34.375</v>
      </c>
      <c r="AH53" s="38">
        <f>IFERROR(up_RadSpec!$J$5*AH5,".")*$B$53</f>
        <v>1.5696347031963472E-3</v>
      </c>
      <c r="AI53" s="47">
        <f t="shared" si="63"/>
        <v>0.99999999999999878</v>
      </c>
      <c r="AJ53" s="47">
        <f t="shared" si="63"/>
        <v>1.5696347031963472E-3</v>
      </c>
      <c r="AK53" s="47">
        <f t="shared" si="64"/>
        <v>0.99999999999999878</v>
      </c>
    </row>
    <row r="54" spans="1:37" x14ac:dyDescent="0.25">
      <c r="A54" s="29" t="s">
        <v>310</v>
      </c>
      <c r="B54" s="24">
        <v>0.99999979999999999</v>
      </c>
      <c r="C54" s="109"/>
      <c r="D54" s="30">
        <f>IFERROR(D9/$B54,0)</f>
        <v>7.2727287272730192E-8</v>
      </c>
      <c r="E54" s="30">
        <f>IFERROR(E9/$B54,0)</f>
        <v>9.0250338939604991E-5</v>
      </c>
      <c r="F54" s="30">
        <f>IFERROR(F9/$B54,0)</f>
        <v>2.600218650537089E-5</v>
      </c>
      <c r="G54" s="30">
        <f t="shared" si="22"/>
        <v>7.2466205474463068E-8</v>
      </c>
      <c r="H54" s="38">
        <f>IFERROR(up_RadSpec!$I$9*H9,".")*$B$54</f>
        <v>687.49986249999995</v>
      </c>
      <c r="I54" s="38">
        <f>IFERROR(up_RadSpec!$G$9*I9,".")*$B$54</f>
        <v>0.55401453986183602</v>
      </c>
      <c r="J54" s="38">
        <f>IFERROR(up_RadSpec!$F$9*J9,".")*$B$54</f>
        <v>1.9229152129061235</v>
      </c>
      <c r="K54" s="47">
        <f t="shared" si="58"/>
        <v>1</v>
      </c>
      <c r="L54" s="47">
        <f t="shared" si="58"/>
        <v>0.42536173463226024</v>
      </c>
      <c r="M54" s="47">
        <f t="shared" si="58"/>
        <v>0.85381980601553686</v>
      </c>
      <c r="N54" s="47">
        <f t="shared" si="59"/>
        <v>1</v>
      </c>
      <c r="O54" s="30">
        <f t="shared" ref="O54:S54" si="73">IFERROR(O9/$B54,0)</f>
        <v>2.600218650537089E-5</v>
      </c>
      <c r="P54" s="30">
        <f t="shared" si="73"/>
        <v>5.3256828833183977E-5</v>
      </c>
      <c r="Q54" s="30">
        <f t="shared" si="73"/>
        <v>3.7472546918109186E-5</v>
      </c>
      <c r="R54" s="30">
        <f t="shared" si="73"/>
        <v>3.0889262376199585E-5</v>
      </c>
      <c r="S54" s="30">
        <f t="shared" si="73"/>
        <v>9.4332728410522875E-5</v>
      </c>
      <c r="T54" s="38">
        <f>IFERROR(up_RadSpec!$F$9*T9,".")*$B$54</f>
        <v>1.9229152129061235</v>
      </c>
      <c r="U54" s="38">
        <f>IFERROR(up_RadSpec!$M$9*U9,".")*$B$54</f>
        <v>0.93884673750693426</v>
      </c>
      <c r="V54" s="38">
        <f>IFERROR(up_RadSpec!$N$9*V9,".")*$B$54</f>
        <v>1.3343101580276284</v>
      </c>
      <c r="W54" s="38">
        <f>IFERROR(up_RadSpec!$O$9*W9,".")*$B$54</f>
        <v>1.6186854639340753</v>
      </c>
      <c r="X54" s="38">
        <f>IFERROR(up_RadSpec!$K$9*X9,".")*$B$54</f>
        <v>0.53003873462036399</v>
      </c>
      <c r="Y54" s="47">
        <f t="shared" si="61"/>
        <v>0.85381980601553686</v>
      </c>
      <c r="Z54" s="47">
        <f t="shared" si="61"/>
        <v>0.60892140834000386</v>
      </c>
      <c r="AA54" s="47">
        <f t="shared" si="61"/>
        <v>0.73666022435865575</v>
      </c>
      <c r="AB54" s="47">
        <f t="shared" si="61"/>
        <v>0.80184098487911615</v>
      </c>
      <c r="AC54" s="47">
        <f t="shared" si="61"/>
        <v>0.41141782927013248</v>
      </c>
      <c r="AD54" s="30">
        <f t="shared" ref="AD54:AF54" si="74">IFERROR(AD9/$B54,0)</f>
        <v>2.9090914909092077E-10</v>
      </c>
      <c r="AE54" s="30">
        <f t="shared" si="74"/>
        <v>6.3709103650911641E-6</v>
      </c>
      <c r="AF54" s="30">
        <f t="shared" si="74"/>
        <v>2.908958661746571E-10</v>
      </c>
      <c r="AG54" s="38">
        <f>IFERROR(up_RadSpec!$G$9*AG9,".")*$B$54</f>
        <v>171874.96562500001</v>
      </c>
      <c r="AH54" s="38">
        <f>IFERROR(up_RadSpec!$J$9*AH9,".")*$B$54</f>
        <v>7.8481719463470325</v>
      </c>
      <c r="AI54" s="47">
        <f t="shared" si="63"/>
        <v>1</v>
      </c>
      <c r="AJ54" s="47">
        <f t="shared" si="63"/>
        <v>0.99960953489260818</v>
      </c>
      <c r="AK54" s="47">
        <f t="shared" si="64"/>
        <v>1</v>
      </c>
    </row>
    <row r="55" spans="1:37" x14ac:dyDescent="0.25">
      <c r="A55" s="29" t="s">
        <v>311</v>
      </c>
      <c r="B55" s="24">
        <v>1.9999999999999999E-7</v>
      </c>
      <c r="C55" s="109"/>
      <c r="D55" s="30">
        <f>IFERROR(D24/$B55,0)</f>
        <v>0.3636363636363637</v>
      </c>
      <c r="E55" s="30">
        <f>IFERROR(E24/$B55,0)</f>
        <v>451.25160444768602</v>
      </c>
      <c r="F55" s="30">
        <f>IFERROR(F24/$B55,0)</f>
        <v>229.43681137790276</v>
      </c>
      <c r="G55" s="30">
        <f t="shared" si="22"/>
        <v>0.36276907418324134</v>
      </c>
      <c r="H55" s="38">
        <f>IFERROR(up_RadSpec!$I$24*H24,".")*$B$55</f>
        <v>1.3749999999999998E-4</v>
      </c>
      <c r="I55" s="38">
        <f>IFERROR(up_RadSpec!$G$24*I24,".")*$B$55</f>
        <v>1.1080293013295323E-7</v>
      </c>
      <c r="J55" s="38">
        <f>IFERROR(up_RadSpec!$F$24*J24,".")*$B$55</f>
        <v>2.1792492538455646E-7</v>
      </c>
      <c r="K55" s="47">
        <f t="shared" si="58"/>
        <v>1.3749999999999998E-4</v>
      </c>
      <c r="L55" s="47">
        <f t="shared" si="58"/>
        <v>1.1080293013295323E-7</v>
      </c>
      <c r="M55" s="47">
        <f t="shared" si="58"/>
        <v>2.1792492538455646E-7</v>
      </c>
      <c r="N55" s="47">
        <f t="shared" si="59"/>
        <v>1.3782872785551747E-4</v>
      </c>
      <c r="O55" s="30">
        <f t="shared" ref="O55:S55" si="75">IFERROR(O24/$B55,0)</f>
        <v>229.43681137790276</v>
      </c>
      <c r="P55" s="30">
        <f t="shared" si="75"/>
        <v>415.97237211310181</v>
      </c>
      <c r="Q55" s="30">
        <f t="shared" si="75"/>
        <v>293.70337401551672</v>
      </c>
      <c r="R55" s="30">
        <f t="shared" si="75"/>
        <v>245.26136013662966</v>
      </c>
      <c r="S55" s="30">
        <f t="shared" si="75"/>
        <v>691.34865134865106</v>
      </c>
      <c r="T55" s="38">
        <f>IFERROR(up_RadSpec!$F$24*T24,".")*$B$55</f>
        <v>2.1792492538455646E-7</v>
      </c>
      <c r="U55" s="38">
        <f>IFERROR(up_RadSpec!$M$24*U24,".")*$B$55</f>
        <v>1.2020029057700292E-7</v>
      </c>
      <c r="V55" s="38">
        <f>IFERROR(up_RadSpec!$N$24*V24,".")*$B$55</f>
        <v>1.7023978756661627E-7</v>
      </c>
      <c r="W55" s="38">
        <f>IFERROR(up_RadSpec!$O$24*W24,".")*$B$55</f>
        <v>2.0386415525114157E-7</v>
      </c>
      <c r="X55" s="38">
        <f>IFERROR(up_RadSpec!$K$24*X24,".")*$B$55</f>
        <v>7.2322409109300078E-8</v>
      </c>
      <c r="Y55" s="47">
        <f t="shared" si="61"/>
        <v>2.1792492538455646E-7</v>
      </c>
      <c r="Z55" s="47">
        <f t="shared" si="61"/>
        <v>1.2020029057700292E-7</v>
      </c>
      <c r="AA55" s="47">
        <f t="shared" si="61"/>
        <v>1.7023978756661627E-7</v>
      </c>
      <c r="AB55" s="47">
        <f t="shared" si="61"/>
        <v>2.0386415525114157E-7</v>
      </c>
      <c r="AC55" s="47">
        <f t="shared" si="61"/>
        <v>7.2322409109300078E-8</v>
      </c>
      <c r="AD55" s="30">
        <f t="shared" ref="AD55:AF55" si="76">IFERROR(AD24/$B55,0)</f>
        <v>1.4545454545454547E-3</v>
      </c>
      <c r="AE55" s="30">
        <f t="shared" si="76"/>
        <v>31.854545454545455</v>
      </c>
      <c r="AF55" s="30">
        <f t="shared" si="76"/>
        <v>1.4544790399774194E-3</v>
      </c>
      <c r="AG55" s="38">
        <f>IFERROR(up_RadSpec!$G$24*AG24,".")*$B$55</f>
        <v>3.4374999999999996E-2</v>
      </c>
      <c r="AH55" s="38">
        <f>IFERROR(up_RadSpec!$J$24*AH24,".")*$B$55</f>
        <v>1.5696347031963471E-6</v>
      </c>
      <c r="AI55" s="47">
        <f t="shared" si="63"/>
        <v>3.379089172316796E-2</v>
      </c>
      <c r="AJ55" s="47">
        <f t="shared" si="63"/>
        <v>1.5696347031963471E-6</v>
      </c>
      <c r="AK55" s="47">
        <f t="shared" si="64"/>
        <v>3.3792408317324552E-2</v>
      </c>
    </row>
    <row r="56" spans="1:37" x14ac:dyDescent="0.25">
      <c r="A56" s="29" t="s">
        <v>312</v>
      </c>
      <c r="B56" s="24">
        <v>0.99979000004200003</v>
      </c>
      <c r="C56" s="109"/>
      <c r="D56" s="30">
        <f>IFERROR(D20/$B56,0)</f>
        <v>7.2742548659436027E-8</v>
      </c>
      <c r="E56" s="30">
        <f>IFERROR(E20/$B56,0)</f>
        <v>9.0269277434007028E-5</v>
      </c>
      <c r="F56" s="30">
        <f>IFERROR(F20/$B56,0)</f>
        <v>3.5946960422736814E-5</v>
      </c>
      <c r="G56" s="30">
        <f t="shared" si="22"/>
        <v>7.2537308170963332E-8</v>
      </c>
      <c r="H56" s="38">
        <f>IFERROR(up_RadSpec!$I$20*H20,".")*$B$56</f>
        <v>687.35562502887501</v>
      </c>
      <c r="I56" s="38">
        <f>IFERROR(up_RadSpec!$G$20*I20,".")*$B$56</f>
        <v>0.55389830761139525</v>
      </c>
      <c r="J56" s="38">
        <f>IFERROR(up_RadSpec!$F$20*J20,".")*$B$56</f>
        <v>1.3909381881527458</v>
      </c>
      <c r="K56" s="47">
        <f t="shared" si="58"/>
        <v>1</v>
      </c>
      <c r="L56" s="47">
        <f t="shared" si="58"/>
        <v>0.42529493925167361</v>
      </c>
      <c r="M56" s="47">
        <f t="shared" si="58"/>
        <v>0.75115826528488228</v>
      </c>
      <c r="N56" s="47">
        <f t="shared" si="59"/>
        <v>1</v>
      </c>
      <c r="O56" s="30">
        <f t="shared" ref="O56:S56" si="77">IFERROR(O20/$B56,0)</f>
        <v>3.5946960422736814E-5</v>
      </c>
      <c r="P56" s="30">
        <f t="shared" si="77"/>
        <v>7.0890810480460354E-5</v>
      </c>
      <c r="Q56" s="30">
        <f t="shared" si="77"/>
        <v>4.9600825761736339E-5</v>
      </c>
      <c r="R56" s="30">
        <f t="shared" si="77"/>
        <v>4.1648674918735949E-5</v>
      </c>
      <c r="S56" s="30">
        <f t="shared" si="77"/>
        <v>1.2079522776261757E-4</v>
      </c>
      <c r="T56" s="38">
        <f>IFERROR(up_RadSpec!$F$20*T20,".")*$B$56</f>
        <v>1.3909381881527458</v>
      </c>
      <c r="U56" s="38">
        <f>IFERROR(up_RadSpec!$M$20*U20,".")*$B$56</f>
        <v>0.7053100347016279</v>
      </c>
      <c r="V56" s="38">
        <f>IFERROR(up_RadSpec!$N$20*V20,".")*$B$56</f>
        <v>1.008047733724861</v>
      </c>
      <c r="W56" s="38">
        <f>IFERROR(up_RadSpec!$O$20*W20,".")*$B$56</f>
        <v>1.2005183861805691</v>
      </c>
      <c r="X56" s="38">
        <f>IFERROR(up_RadSpec!$K$20*X20,".")*$B$56</f>
        <v>0.41392363693587469</v>
      </c>
      <c r="Y56" s="47">
        <f t="shared" si="61"/>
        <v>0.75115826528488228</v>
      </c>
      <c r="Z56" s="47">
        <f t="shared" si="61"/>
        <v>0.50604459280347092</v>
      </c>
      <c r="AA56" s="47">
        <f t="shared" si="61"/>
        <v>0.63506927346415554</v>
      </c>
      <c r="AB56" s="47">
        <f t="shared" si="61"/>
        <v>0.69896188254282088</v>
      </c>
      <c r="AC56" s="47">
        <f t="shared" si="61"/>
        <v>0.33894857074875684</v>
      </c>
      <c r="AD56" s="30">
        <f t="shared" ref="AD56:AF56" si="78">IFERROR(AD20/$B56,0)</f>
        <v>2.9097019463774413E-10</v>
      </c>
      <c r="AE56" s="30">
        <f t="shared" si="78"/>
        <v>6.372247262566595E-6</v>
      </c>
      <c r="AF56" s="30">
        <f t="shared" si="78"/>
        <v>2.9095690893413982E-10</v>
      </c>
      <c r="AG56" s="38">
        <f>IFERROR(up_RadSpec!$G$20*AG20,".")*$B$56</f>
        <v>171838.90625721877</v>
      </c>
      <c r="AH56" s="38">
        <f>IFERROR(up_RadSpec!$J$20*AH20,".")*$B$56</f>
        <v>7.8465253998730029</v>
      </c>
      <c r="AI56" s="47">
        <f t="shared" si="63"/>
        <v>1</v>
      </c>
      <c r="AJ56" s="47">
        <f t="shared" si="63"/>
        <v>0.99960889144407383</v>
      </c>
      <c r="AK56" s="47">
        <f t="shared" si="64"/>
        <v>1</v>
      </c>
    </row>
    <row r="57" spans="1:37" x14ac:dyDescent="0.25">
      <c r="A57" s="29" t="s">
        <v>313</v>
      </c>
      <c r="B57" s="24">
        <v>2.0999995799999999E-4</v>
      </c>
      <c r="C57" s="109"/>
      <c r="D57" s="30">
        <f>IFERROR(D29/$B57,0)</f>
        <v>3.463204155844295E-4</v>
      </c>
      <c r="E57" s="30">
        <f>IFERROR(E29/$B57,0)</f>
        <v>0.42976351876002378</v>
      </c>
      <c r="F57" s="30">
        <f>IFERROR(F29/$B57,0)</f>
        <v>0.13469593212689498</v>
      </c>
      <c r="G57" s="30">
        <f t="shared" si="22"/>
        <v>3.4515483908484449E-4</v>
      </c>
      <c r="H57" s="38">
        <f>IFERROR(up_RadSpec!$I$29*H29,".")*$B$57</f>
        <v>0.144374971125</v>
      </c>
      <c r="I57" s="38">
        <f>IFERROR(up_RadSpec!$G$29*I29,".")*$B$57</f>
        <v>1.1634305337098556E-4</v>
      </c>
      <c r="J57" s="38">
        <f>IFERROR(up_RadSpec!$F$29*J29,".")*$B$57</f>
        <v>3.7120645895152773E-4</v>
      </c>
      <c r="K57" s="47">
        <f t="shared" si="58"/>
        <v>0.13443687397805959</v>
      </c>
      <c r="L57" s="47">
        <f t="shared" si="58"/>
        <v>1.1634305337098556E-4</v>
      </c>
      <c r="M57" s="47">
        <f t="shared" si="58"/>
        <v>3.7120645895152773E-4</v>
      </c>
      <c r="N57" s="47">
        <f t="shared" si="59"/>
        <v>0.13485877600061602</v>
      </c>
      <c r="O57" s="30">
        <f t="shared" ref="O57:S57" si="79">IFERROR(O29/$B57,0)</f>
        <v>0.13469593212689498</v>
      </c>
      <c r="P57" s="30">
        <f t="shared" si="79"/>
        <v>0.26878109727410504</v>
      </c>
      <c r="Q57" s="30">
        <f t="shared" si="79"/>
        <v>0.19147851056235177</v>
      </c>
      <c r="R57" s="30">
        <f t="shared" si="79"/>
        <v>0.16242320930781862</v>
      </c>
      <c r="S57" s="30">
        <f t="shared" si="79"/>
        <v>0.48264472462811853</v>
      </c>
      <c r="T57" s="38">
        <f>IFERROR(up_RadSpec!$F$29*T29,".")*$B$57</f>
        <v>3.7120645895152773E-4</v>
      </c>
      <c r="U57" s="38">
        <f>IFERROR(up_RadSpec!$M$29*U29,".")*$B$57</f>
        <v>1.8602498653024559E-4</v>
      </c>
      <c r="V57" s="38">
        <f>IFERROR(up_RadSpec!$N$29*V29,".")*$B$57</f>
        <v>2.6112590834948213E-4</v>
      </c>
      <c r="W57" s="38">
        <f>IFERROR(up_RadSpec!$O$29*W29,".")*$B$57</f>
        <v>3.0783777892999157E-4</v>
      </c>
      <c r="X57" s="38">
        <f>IFERROR(up_RadSpec!$K$29*X29,".")*$B$57</f>
        <v>1.0359586969178082E-4</v>
      </c>
      <c r="Y57" s="47">
        <f t="shared" si="61"/>
        <v>3.7120645895152773E-4</v>
      </c>
      <c r="Z57" s="47">
        <f t="shared" si="61"/>
        <v>1.8602498653024559E-4</v>
      </c>
      <c r="AA57" s="47">
        <f t="shared" si="61"/>
        <v>2.6112590834948213E-4</v>
      </c>
      <c r="AB57" s="47">
        <f t="shared" si="61"/>
        <v>3.0783777892999157E-4</v>
      </c>
      <c r="AC57" s="47">
        <f t="shared" si="61"/>
        <v>1.0359586969178082E-4</v>
      </c>
      <c r="AD57" s="30">
        <f t="shared" ref="AD57:AF57" si="80">IFERROR(AD29/$B57,0)</f>
        <v>1.385281662337718E-6</v>
      </c>
      <c r="AE57" s="30">
        <f t="shared" si="80"/>
        <v>3.0337668405196021E-2</v>
      </c>
      <c r="AF57" s="30">
        <f t="shared" si="80"/>
        <v>1.3852184103555101E-6</v>
      </c>
      <c r="AG57" s="38">
        <f>IFERROR(up_RadSpec!$G$29*AG29,".")*$B$57</f>
        <v>36.09374278125</v>
      </c>
      <c r="AH57" s="38">
        <f>IFERROR(up_RadSpec!$J$29*AH29,".")*$B$57</f>
        <v>1.6481161087328767E-3</v>
      </c>
      <c r="AI57" s="47">
        <f t="shared" si="63"/>
        <v>0.99999999999999978</v>
      </c>
      <c r="AJ57" s="47">
        <f t="shared" si="63"/>
        <v>1.6481161087328767E-3</v>
      </c>
      <c r="AK57" s="47">
        <f t="shared" si="64"/>
        <v>0.99999999999999978</v>
      </c>
    </row>
    <row r="58" spans="1:37" x14ac:dyDescent="0.25">
      <c r="A58" s="29" t="s">
        <v>314</v>
      </c>
      <c r="B58" s="24">
        <v>1</v>
      </c>
      <c r="C58" s="109"/>
      <c r="D58" s="30">
        <f>IFERROR(D16/$B58,0)</f>
        <v>7.272727272727274E-8</v>
      </c>
      <c r="E58" s="30">
        <f>IFERROR(E16/$B58,0)</f>
        <v>9.0250320889537203E-5</v>
      </c>
      <c r="F58" s="30">
        <f>IFERROR(F16/$B58,0)</f>
        <v>0.76494620302510574</v>
      </c>
      <c r="G58" s="30">
        <f t="shared" si="22"/>
        <v>7.26687065047692E-8</v>
      </c>
      <c r="H58" s="38">
        <f>IFERROR(up_RadSpec!$I$16*H16,".")*$B$58</f>
        <v>687.5</v>
      </c>
      <c r="I58" s="38">
        <f>IFERROR(up_RadSpec!$G$16*I16,".")*$B$58</f>
        <v>0.55401465066476618</v>
      </c>
      <c r="J58" s="38">
        <f>IFERROR(up_RadSpec!$F$16*J16,".")*$B$58</f>
        <v>6.5364073711676431E-5</v>
      </c>
      <c r="K58" s="47">
        <f t="shared" si="58"/>
        <v>1</v>
      </c>
      <c r="L58" s="47">
        <f t="shared" si="58"/>
        <v>0.42536179830386023</v>
      </c>
      <c r="M58" s="47">
        <f t="shared" si="58"/>
        <v>6.5364073711676431E-5</v>
      </c>
      <c r="N58" s="47">
        <f t="shared" si="59"/>
        <v>1</v>
      </c>
      <c r="O58" s="30">
        <f t="shared" ref="O58:S58" si="81">IFERROR(O16/$B58,0)</f>
        <v>0.76494620302510574</v>
      </c>
      <c r="P58" s="30">
        <f t="shared" si="81"/>
        <v>1.3623429416112349</v>
      </c>
      <c r="Q58" s="30">
        <f t="shared" si="81"/>
        <v>0.81841380561977772</v>
      </c>
      <c r="R58" s="30">
        <f t="shared" si="81"/>
        <v>0.82264249380461774</v>
      </c>
      <c r="S58" s="30">
        <f t="shared" si="81"/>
        <v>31.854545454545459</v>
      </c>
      <c r="T58" s="38">
        <f>IFERROR(up_RadSpec!$F$16*T16,".")*$B$58</f>
        <v>6.5364073711676431E-5</v>
      </c>
      <c r="U58" s="38">
        <f>IFERROR(up_RadSpec!$M$16*U16,".")*$B$58</f>
        <v>3.6701478367014769E-5</v>
      </c>
      <c r="V58" s="38">
        <f>IFERROR(up_RadSpec!$N$16*V16,".")*$B$58</f>
        <v>6.1093788565963199E-5</v>
      </c>
      <c r="W58" s="38">
        <f>IFERROR(up_RadSpec!$O$16*W16,".")*$B$58</f>
        <v>6.077974378488074E-5</v>
      </c>
      <c r="X58" s="38">
        <f>IFERROR(up_RadSpec!$K$16*X16,".")*$B$58</f>
        <v>1.5696347031963469E-6</v>
      </c>
      <c r="Y58" s="47">
        <f t="shared" si="61"/>
        <v>6.5364073711676431E-5</v>
      </c>
      <c r="Z58" s="47">
        <f t="shared" si="61"/>
        <v>3.6701478367014769E-5</v>
      </c>
      <c r="AA58" s="47">
        <f t="shared" si="61"/>
        <v>6.1093788565963199E-5</v>
      </c>
      <c r="AB58" s="47">
        <f t="shared" si="61"/>
        <v>6.077974378488074E-5</v>
      </c>
      <c r="AC58" s="47">
        <f t="shared" si="61"/>
        <v>1.5696347031963469E-6</v>
      </c>
      <c r="AD58" s="30">
        <f t="shared" ref="AD58:AF58" si="82">IFERROR(AD16/$B58,0)</f>
        <v>2.9090909090909094E-10</v>
      </c>
      <c r="AE58" s="30">
        <f t="shared" si="82"/>
        <v>6.3709090909090908E-6</v>
      </c>
      <c r="AF58" s="30">
        <f t="shared" si="82"/>
        <v>2.9089580799548386E-10</v>
      </c>
      <c r="AG58" s="38">
        <f>IFERROR(up_RadSpec!$G$16*AG16,".")*$B$58</f>
        <v>171875</v>
      </c>
      <c r="AH58" s="38">
        <f>IFERROR(up_RadSpec!$J$16*AH16,".")*$B$58</f>
        <v>7.8481735159817356</v>
      </c>
      <c r="AI58" s="47">
        <f t="shared" si="63"/>
        <v>1</v>
      </c>
      <c r="AJ58" s="47">
        <f t="shared" si="63"/>
        <v>0.99960953550549536</v>
      </c>
      <c r="AK58" s="47">
        <f t="shared" si="64"/>
        <v>1</v>
      </c>
    </row>
    <row r="59" spans="1:37" x14ac:dyDescent="0.25">
      <c r="A59" s="29" t="s">
        <v>315</v>
      </c>
      <c r="B59" s="24">
        <v>1</v>
      </c>
      <c r="C59" s="109"/>
      <c r="D59" s="30">
        <f>IFERROR(D7/$B59,0)</f>
        <v>7.272727272727274E-8</v>
      </c>
      <c r="E59" s="30">
        <f>IFERROR(E7/$B59,0)</f>
        <v>9.0250320889537203E-5</v>
      </c>
      <c r="F59" s="30">
        <f>IFERROR(F7/$B59,0)</f>
        <v>9.1843397478433964E-5</v>
      </c>
      <c r="G59" s="30">
        <f t="shared" si="22"/>
        <v>7.2611261624974268E-8</v>
      </c>
      <c r="H59" s="38">
        <f>IFERROR(up_RadSpec!$I$7*H7,".")*$B$59</f>
        <v>687.5</v>
      </c>
      <c r="I59" s="38">
        <f>IFERROR(up_RadSpec!$G$7*I7,".")*$B$59</f>
        <v>0.55401465066476618</v>
      </c>
      <c r="J59" s="38">
        <f>IFERROR(up_RadSpec!$F$7*J7,".")*$B$59</f>
        <v>0.54440494769088521</v>
      </c>
      <c r="K59" s="47">
        <f t="shared" si="58"/>
        <v>1</v>
      </c>
      <c r="L59" s="47">
        <f t="shared" si="58"/>
        <v>0.42536179830386023</v>
      </c>
      <c r="M59" s="47">
        <f t="shared" si="58"/>
        <v>0.41981307779039945</v>
      </c>
      <c r="N59" s="47">
        <f t="shared" si="59"/>
        <v>1</v>
      </c>
      <c r="O59" s="30">
        <f t="shared" ref="O59:S59" si="83">IFERROR(O7/$B59,0)</f>
        <v>9.1843397478433964E-5</v>
      </c>
      <c r="P59" s="30">
        <f t="shared" si="83"/>
        <v>1.4611153552330033E-4</v>
      </c>
      <c r="Q59" s="30">
        <f t="shared" si="83"/>
        <v>1.0704545454545457E-4</v>
      </c>
      <c r="R59" s="30">
        <f t="shared" si="83"/>
        <v>9.8471359678034887E-5</v>
      </c>
      <c r="S59" s="30">
        <f t="shared" si="83"/>
        <v>2.500423640530592E-4</v>
      </c>
      <c r="T59" s="38">
        <f>IFERROR(up_RadSpec!$F$7*T7,".")*$B$59</f>
        <v>0.54440494769088521</v>
      </c>
      <c r="U59" s="38">
        <f>IFERROR(up_RadSpec!$M$7*U7,".")*$B$59</f>
        <v>0.34220432918540189</v>
      </c>
      <c r="V59" s="38">
        <f>IFERROR(up_RadSpec!$N$7*V7,".")*$B$59</f>
        <v>0.46709129511677278</v>
      </c>
      <c r="W59" s="38">
        <f>IFERROR(up_RadSpec!$O$7*W7,".")*$B$59</f>
        <v>0.50776185241558169</v>
      </c>
      <c r="X59" s="38">
        <f>IFERROR(up_RadSpec!$K$7*X7,".")*$B$59</f>
        <v>0.19996611449966123</v>
      </c>
      <c r="Y59" s="47">
        <f t="shared" si="61"/>
        <v>0.41981307779039945</v>
      </c>
      <c r="Z59" s="47">
        <f t="shared" si="61"/>
        <v>0.28979692533318602</v>
      </c>
      <c r="AA59" s="47">
        <f t="shared" si="61"/>
        <v>0.3731771380662996</v>
      </c>
      <c r="AB59" s="47">
        <f t="shared" si="61"/>
        <v>0.39815891830321559</v>
      </c>
      <c r="AC59" s="47">
        <f t="shared" si="61"/>
        <v>0.18124150335075762</v>
      </c>
      <c r="AD59" s="30">
        <f t="shared" ref="AD59:AF59" si="84">IFERROR(AD7/$B59,0)</f>
        <v>2.9090909090909094E-10</v>
      </c>
      <c r="AE59" s="30">
        <f t="shared" si="84"/>
        <v>6.3709090909090908E-6</v>
      </c>
      <c r="AF59" s="30">
        <f t="shared" si="84"/>
        <v>2.9089580799548386E-10</v>
      </c>
      <c r="AG59" s="38">
        <f>IFERROR(up_RadSpec!$G$7*AG7,".")*$B$59</f>
        <v>171875</v>
      </c>
      <c r="AH59" s="38">
        <f>IFERROR(up_RadSpec!$J$7*AH7,".")*$B$59</f>
        <v>7.8481735159817356</v>
      </c>
      <c r="AI59" s="47">
        <f t="shared" si="63"/>
        <v>1</v>
      </c>
      <c r="AJ59" s="47">
        <f t="shared" si="63"/>
        <v>0.99960953550549536</v>
      </c>
      <c r="AK59" s="47">
        <f t="shared" si="64"/>
        <v>1</v>
      </c>
    </row>
    <row r="60" spans="1:37" x14ac:dyDescent="0.25">
      <c r="A60" s="29" t="s">
        <v>316</v>
      </c>
      <c r="B60" s="33">
        <v>1.9000000000000001E-8</v>
      </c>
      <c r="C60" s="109"/>
      <c r="D60" s="30">
        <f>IFERROR(D12/$B60,0)</f>
        <v>3.8277511961722492</v>
      </c>
      <c r="E60" s="30">
        <f>IFERROR(E12/$B60,0)</f>
        <v>4750.0168889230099</v>
      </c>
      <c r="F60" s="30">
        <f>IFERROR(F12/$B60,0)</f>
        <v>3751.6872799494449</v>
      </c>
      <c r="G60" s="30">
        <f t="shared" si="22"/>
        <v>3.8207740269233001</v>
      </c>
      <c r="H60" s="38">
        <f>IFERROR(up_RadSpec!$I$12*H12,".")*$B$60</f>
        <v>1.3062500000000001E-5</v>
      </c>
      <c r="I60" s="38">
        <f>IFERROR(up_RadSpec!$G$12*I12,".")*$B$60</f>
        <v>1.0526278362630558E-8</v>
      </c>
      <c r="J60" s="38">
        <f>IFERROR(up_RadSpec!$F$12*J12,".")*$B$60</f>
        <v>1.3327336813817216E-8</v>
      </c>
      <c r="K60" s="47">
        <f t="shared" si="58"/>
        <v>1.3062500000000001E-5</v>
      </c>
      <c r="L60" s="47">
        <f t="shared" si="58"/>
        <v>1.0526278362630558E-8</v>
      </c>
      <c r="M60" s="47">
        <f t="shared" si="58"/>
        <v>1.3327336813817216E-8</v>
      </c>
      <c r="N60" s="47">
        <f t="shared" si="59"/>
        <v>1.3086353615176449E-5</v>
      </c>
      <c r="O60" s="30">
        <f t="shared" ref="O60:S60" si="85">IFERROR(O12/$B60,0)</f>
        <v>3751.6872799494449</v>
      </c>
      <c r="P60" s="30">
        <f t="shared" si="85"/>
        <v>6730.7676010623618</v>
      </c>
      <c r="Q60" s="30">
        <f t="shared" si="85"/>
        <v>4880.3963634823604</v>
      </c>
      <c r="R60" s="30">
        <f t="shared" si="85"/>
        <v>4310.0706650788998</v>
      </c>
      <c r="S60" s="30">
        <f t="shared" si="85"/>
        <v>11618.982521238162</v>
      </c>
      <c r="T60" s="38">
        <f>IFERROR(up_RadSpec!$F$12*T12,".")*$B$60</f>
        <v>1.3327336813817216E-8</v>
      </c>
      <c r="U60" s="38">
        <f>IFERROR(up_RadSpec!$M$12*U12,".")*$B$60</f>
        <v>7.4285732272360999E-9</v>
      </c>
      <c r="V60" s="38">
        <f>IFERROR(up_RadSpec!$N$12*V12,".")*$B$60</f>
        <v>1.024506951405131E-8</v>
      </c>
      <c r="W60" s="38">
        <f>IFERROR(up_RadSpec!$O$12*W12,".")*$B$60</f>
        <v>1.1600737873072601E-8</v>
      </c>
      <c r="X60" s="38">
        <f>IFERROR(up_RadSpec!$K$12*X12,".")*$B$60</f>
        <v>4.3033027985545013E-9</v>
      </c>
      <c r="Y60" s="47">
        <f t="shared" si="61"/>
        <v>1.3327336813817216E-8</v>
      </c>
      <c r="Z60" s="47">
        <f t="shared" si="61"/>
        <v>7.4285732272360999E-9</v>
      </c>
      <c r="AA60" s="47">
        <f t="shared" si="61"/>
        <v>1.024506951405131E-8</v>
      </c>
      <c r="AB60" s="47">
        <f t="shared" si="61"/>
        <v>1.1600737873072601E-8</v>
      </c>
      <c r="AC60" s="47">
        <f t="shared" si="61"/>
        <v>4.3033027985545013E-9</v>
      </c>
      <c r="AD60" s="30">
        <f t="shared" ref="AD60:AF60" si="86">IFERROR(AD12/$B60,0)</f>
        <v>1.5311004784688996E-2</v>
      </c>
      <c r="AE60" s="30">
        <f t="shared" si="86"/>
        <v>335.31100478468898</v>
      </c>
      <c r="AF60" s="30">
        <f t="shared" si="86"/>
        <v>1.5310305683972833E-2</v>
      </c>
      <c r="AG60" s="38">
        <f>IFERROR(up_RadSpec!$G$12*AG12,".")*$B$60</f>
        <v>3.2656250000000003E-3</v>
      </c>
      <c r="AH60" s="38">
        <f>IFERROR(up_RadSpec!$J$12*AH12,".")*$B$60</f>
        <v>1.4911529680365299E-7</v>
      </c>
      <c r="AI60" s="47">
        <f t="shared" si="63"/>
        <v>3.2656250000000003E-3</v>
      </c>
      <c r="AJ60" s="47">
        <f t="shared" si="63"/>
        <v>1.4911529680365299E-7</v>
      </c>
      <c r="AK60" s="47">
        <f t="shared" si="64"/>
        <v>3.2657741152968042E-3</v>
      </c>
    </row>
    <row r="61" spans="1:37" x14ac:dyDescent="0.25">
      <c r="A61" s="29" t="s">
        <v>317</v>
      </c>
      <c r="B61" s="24">
        <v>1</v>
      </c>
      <c r="C61" s="109"/>
      <c r="D61" s="30">
        <f>IFERROR(D18/$B61,0)</f>
        <v>7.272727272727274E-8</v>
      </c>
      <c r="E61" s="30">
        <f>IFERROR(E18/$B61,0)</f>
        <v>9.0250320889537203E-5</v>
      </c>
      <c r="F61" s="30">
        <f>IFERROR(F18/$B61,0)</f>
        <v>3.5819104981705617E-5</v>
      </c>
      <c r="G61" s="30">
        <f t="shared" si="22"/>
        <v>7.2521583819291654E-8</v>
      </c>
      <c r="H61" s="38">
        <f>IFERROR(up_RadSpec!$I$18*H18,".")*$B$61</f>
        <v>687.5</v>
      </c>
      <c r="I61" s="38">
        <f>IFERROR(up_RadSpec!$G$18*I18,".")*$B$61</f>
        <v>0.55401465066476618</v>
      </c>
      <c r="J61" s="38">
        <f>IFERROR(up_RadSpec!$F$18*J18,".")*$B$61</f>
        <v>1.3959031088447689</v>
      </c>
      <c r="K61" s="47">
        <f t="shared" si="58"/>
        <v>1</v>
      </c>
      <c r="L61" s="47">
        <f t="shared" si="58"/>
        <v>0.42536179830386023</v>
      </c>
      <c r="M61" s="47">
        <f t="shared" si="58"/>
        <v>0.75239068280335397</v>
      </c>
      <c r="N61" s="47">
        <f t="shared" si="59"/>
        <v>1</v>
      </c>
      <c r="O61" s="30">
        <f t="shared" ref="O61:S61" si="87">IFERROR(O18/$B61,0)</f>
        <v>3.5819104981705617E-5</v>
      </c>
      <c r="P61" s="30">
        <f t="shared" si="87"/>
        <v>7.0875611640484193E-5</v>
      </c>
      <c r="Q61" s="30">
        <f t="shared" si="87"/>
        <v>4.9633877043552499E-5</v>
      </c>
      <c r="R61" s="30">
        <f t="shared" si="87"/>
        <v>4.1122563526890526E-5</v>
      </c>
      <c r="S61" s="30">
        <f t="shared" si="87"/>
        <v>1.2047552447552447E-4</v>
      </c>
      <c r="T61" s="38">
        <f>IFERROR(up_RadSpec!$F$18*T18,".")*$B$61</f>
        <v>1.3959031088447689</v>
      </c>
      <c r="U61" s="38">
        <f>IFERROR(up_RadSpec!$M$18*U18,".")*$B$61</f>
        <v>0.70546128411031572</v>
      </c>
      <c r="V61" s="38">
        <f>IFERROR(up_RadSpec!$N$18*V18,".")*$B$61</f>
        <v>1.0073764730513848</v>
      </c>
      <c r="W61" s="38">
        <f>IFERROR(up_RadSpec!$O$18*W18,".")*$B$61</f>
        <v>1.2158775064522531</v>
      </c>
      <c r="X61" s="38">
        <f>IFERROR(up_RadSpec!$K$18*X18,".")*$B$61</f>
        <v>0.4150220571163224</v>
      </c>
      <c r="Y61" s="47">
        <f t="shared" si="61"/>
        <v>0.75239068280335397</v>
      </c>
      <c r="Z61" s="47">
        <f t="shared" si="61"/>
        <v>0.50611929761705565</v>
      </c>
      <c r="AA61" s="47">
        <f t="shared" si="61"/>
        <v>0.63482422758325874</v>
      </c>
      <c r="AB61" s="47">
        <f t="shared" si="61"/>
        <v>0.70355023645539005</v>
      </c>
      <c r="AC61" s="47">
        <f t="shared" si="61"/>
        <v>0.33967428433676894</v>
      </c>
      <c r="AD61" s="30">
        <f t="shared" ref="AD61:AF61" si="88">IFERROR(AD18/$B61,0)</f>
        <v>2.9090909090909094E-10</v>
      </c>
      <c r="AE61" s="30">
        <f t="shared" si="88"/>
        <v>6.3709090909090908E-6</v>
      </c>
      <c r="AF61" s="30">
        <f t="shared" si="88"/>
        <v>2.9089580799548386E-10</v>
      </c>
      <c r="AG61" s="38">
        <f>IFERROR(up_RadSpec!$G$18*AG18,".")*$B$61</f>
        <v>171875</v>
      </c>
      <c r="AH61" s="38">
        <f>IFERROR(up_RadSpec!$J$18*AH18,".")*$B$61</f>
        <v>7.8481735159817356</v>
      </c>
      <c r="AI61" s="47">
        <f t="shared" si="63"/>
        <v>1</v>
      </c>
      <c r="AJ61" s="47">
        <f t="shared" si="63"/>
        <v>0.99960953550549536</v>
      </c>
      <c r="AK61" s="47">
        <f t="shared" si="64"/>
        <v>1</v>
      </c>
    </row>
    <row r="62" spans="1:37" x14ac:dyDescent="0.25">
      <c r="A62" s="29" t="s">
        <v>318</v>
      </c>
      <c r="B62" s="24">
        <v>1.339E-6</v>
      </c>
      <c r="C62" s="109"/>
      <c r="D62" s="30">
        <f>IFERROR(D27/$B62,0)</f>
        <v>5.4314617421413545E-2</v>
      </c>
      <c r="E62" s="30">
        <f>IFERROR(E27/$B62,0)</f>
        <v>67.401285205031513</v>
      </c>
      <c r="F62" s="30">
        <f>IFERROR(F27/$B62,0)</f>
        <v>43.901003530817384</v>
      </c>
      <c r="G62" s="30">
        <f t="shared" ref="G62" si="89">IFERROR(SUM(D62:F62),0)</f>
        <v>111.35660335327032</v>
      </c>
      <c r="H62" s="38">
        <f>IFERROR(up_RadSpec!$I$27*H27,".")*$B$62</f>
        <v>9.2056250000000005E-4</v>
      </c>
      <c r="I62" s="38">
        <f>IFERROR(up_RadSpec!$G$27*I27,".")*$B$62</f>
        <v>7.4182561724012188E-7</v>
      </c>
      <c r="J62" s="38">
        <f>IFERROR(up_RadSpec!$F$27*J27,".")*$B$62</f>
        <v>1.13892612875925E-6</v>
      </c>
      <c r="K62" s="47">
        <f t="shared" si="58"/>
        <v>9.2056250000000005E-4</v>
      </c>
      <c r="L62" s="47">
        <f t="shared" si="58"/>
        <v>7.4182561724012188E-7</v>
      </c>
      <c r="M62" s="47">
        <f t="shared" si="58"/>
        <v>1.13892612875925E-6</v>
      </c>
      <c r="N62" s="47">
        <f t="shared" si="59"/>
        <v>9.2244325174599938E-4</v>
      </c>
      <c r="O62" s="30">
        <f t="shared" ref="O62:S62" si="90">IFERROR(O27/$B62,0)</f>
        <v>43.901003530817384</v>
      </c>
      <c r="P62" s="30">
        <f t="shared" si="90"/>
        <v>130.21786593580163</v>
      </c>
      <c r="Q62" s="30">
        <f t="shared" si="90"/>
        <v>79.833343734491137</v>
      </c>
      <c r="R62" s="30">
        <f t="shared" si="90"/>
        <v>58.075673411227257</v>
      </c>
      <c r="S62" s="30">
        <f t="shared" si="90"/>
        <v>407.31919794291832</v>
      </c>
      <c r="T62" s="38">
        <f>IFERROR(up_RadSpec!$F$27*T27,".")*$B$62</f>
        <v>1.13892612875925E-6</v>
      </c>
      <c r="U62" s="38">
        <f>IFERROR(up_RadSpec!$M$27*U27,".")*$B$62</f>
        <v>3.8397188926940628E-7</v>
      </c>
      <c r="V62" s="38">
        <f>IFERROR(up_RadSpec!$N$27*V27,".")*$B$62</f>
        <v>6.2630472007147106E-7</v>
      </c>
      <c r="W62" s="38">
        <f>IFERROR(up_RadSpec!$O$27*W27,".")*$B$62</f>
        <v>8.6094567764984291E-7</v>
      </c>
      <c r="X62" s="38">
        <f>IFERROR(up_RadSpec!$K$27*X27,".")*$B$62</f>
        <v>1.2275385067169607E-7</v>
      </c>
      <c r="Y62" s="47">
        <f t="shared" si="61"/>
        <v>1.13892612875925E-6</v>
      </c>
      <c r="Z62" s="47">
        <f t="shared" si="61"/>
        <v>3.8397188926940628E-7</v>
      </c>
      <c r="AA62" s="47">
        <f t="shared" si="61"/>
        <v>6.2630472007147106E-7</v>
      </c>
      <c r="AB62" s="47">
        <f t="shared" si="61"/>
        <v>8.6094567764984291E-7</v>
      </c>
      <c r="AC62" s="47">
        <f t="shared" si="61"/>
        <v>1.2275385067169607E-7</v>
      </c>
      <c r="AD62" s="30">
        <f t="shared" ref="AD62:AF62" si="91">IFERROR(AD27/$B62,0)</f>
        <v>2.1725846968565418E-4</v>
      </c>
      <c r="AE62" s="30">
        <f t="shared" si="91"/>
        <v>4.7579604861158256</v>
      </c>
      <c r="AF62" s="30">
        <f t="shared" si="91"/>
        <v>2.1724854966055553E-4</v>
      </c>
      <c r="AG62" s="38">
        <f>IFERROR(up_RadSpec!$G$27*AG27,".")*$B$62</f>
        <v>0.23014062500000002</v>
      </c>
      <c r="AH62" s="38">
        <f>IFERROR(up_RadSpec!$J$27*AH27,".")*$B$62</f>
        <v>1.0508704337899545E-5</v>
      </c>
      <c r="AI62" s="47">
        <f t="shared" si="63"/>
        <v>0.20557812092878014</v>
      </c>
      <c r="AJ62" s="47">
        <f t="shared" si="63"/>
        <v>1.0508704337899545E-5</v>
      </c>
      <c r="AK62" s="47">
        <f t="shared" si="64"/>
        <v>0.20558646922956181</v>
      </c>
    </row>
    <row r="63" spans="1:37" x14ac:dyDescent="0.25">
      <c r="A63" s="26" t="s">
        <v>35</v>
      </c>
      <c r="B63" s="26" t="s">
        <v>289</v>
      </c>
      <c r="C63" s="110"/>
      <c r="D63" s="27">
        <f>1/SUM(1/D64,1/D65,1/D66,1/D67,1/D68,1/D69,1/D70,1/D71,1/D72,1/D73,1/D74,1/D75,1/D76)</f>
        <v>9.0909075477275343E-9</v>
      </c>
      <c r="E63" s="27">
        <f t="shared" ref="E63:G63" si="92">1/SUM(1/E64,1/E65,1/E66,1/E67,1/E68,1/E69,1/E70,1/E71,1/E72,1/E73,1/E74,1/E75,1/E76)</f>
        <v>1.1281288196193478E-5</v>
      </c>
      <c r="F63" s="27">
        <f>1/SUM(1/F64,1/F66,1/F68,1/F69,1/F70,1/F71,1/F72,1/F73,1/F74,1/F75,1/F76)</f>
        <v>7.2020093032882853E-6</v>
      </c>
      <c r="G63" s="28">
        <f t="shared" si="92"/>
        <v>9.0721453235280756E-9</v>
      </c>
      <c r="H63" s="45"/>
      <c r="I63" s="45"/>
      <c r="J63" s="45"/>
      <c r="K63" s="46">
        <f>IFERROR(IF(SUM(H64:H76)&gt;0.01,1-EXP(-SUM(H64:H76)),SUM(H64:H76)),".")</f>
        <v>1</v>
      </c>
      <c r="L63" s="46">
        <f>IFERROR(IF(SUM(I64:I76)&gt;0.01,1-EXP(-SUM(I64:I76)),SUM(I64:I76)),".")</f>
        <v>0.98811071800817374</v>
      </c>
      <c r="M63" s="46">
        <f>IFERROR(IF(SUM(J64:J76)&gt;0.01,1-EXP(-SUM(J64:J76)),SUM(J64:J76)),".")</f>
        <v>0.99903415481416136</v>
      </c>
      <c r="N63" s="46">
        <f>IFERROR(IF(SUM(H64:J76)&gt;0.01,1-EXP(-SUM(H64:J76)),SUM(H64:J76)),".")</f>
        <v>1</v>
      </c>
      <c r="O63" s="27">
        <f t="shared" ref="O63:S63" si="93">1/SUM(1/O64,1/O66,1/O68,1/O69,1/O70,1/O71,1/O72,1/O73,1/O74,1/O75,1/O76)</f>
        <v>7.2020093032882853E-6</v>
      </c>
      <c r="P63" s="27">
        <f t="shared" si="93"/>
        <v>1.3719761599145533E-5</v>
      </c>
      <c r="Q63" s="27">
        <f t="shared" si="93"/>
        <v>9.7701532463028118E-6</v>
      </c>
      <c r="R63" s="27">
        <f t="shared" si="93"/>
        <v>8.3304156415765933E-6</v>
      </c>
      <c r="S63" s="27">
        <f t="shared" si="93"/>
        <v>2.4088991591820404E-5</v>
      </c>
      <c r="T63" s="45"/>
      <c r="U63" s="45"/>
      <c r="V63" s="45"/>
      <c r="W63" s="45"/>
      <c r="X63" s="45"/>
      <c r="Y63" s="46">
        <f>IFERROR(IF(SUM(T64:T76)&gt;0.01,1-EXP(-SUM(T64:T76)),SUM(T64:T76)),".")</f>
        <v>0.99903415481416136</v>
      </c>
      <c r="Z63" s="46">
        <f t="shared" ref="Z63:AC63" si="94">IFERROR(IF(SUM(U64:U76)&gt;0.01,1-EXP(-SUM(U64:U76)),SUM(U64:U76)),".")</f>
        <v>0.97386234264811056</v>
      </c>
      <c r="AA63" s="46">
        <f t="shared" si="94"/>
        <v>0.99400977913439714</v>
      </c>
      <c r="AB63" s="46">
        <f t="shared" si="94"/>
        <v>0.9975264513866956</v>
      </c>
      <c r="AC63" s="46">
        <f t="shared" si="94"/>
        <v>0.87452351481170032</v>
      </c>
      <c r="AD63" s="27">
        <f t="shared" ref="AD63:AF63" si="95">1/SUM(1/AD64,1/AD65,1/AD66,1/AD67,1/AD68,1/AD69,1/AD70,1/AD71,1/AD72,1/AD73,1/AD74,1/AD75,1/AD76)</f>
        <v>3.6363630190910144E-11</v>
      </c>
      <c r="AE63" s="27">
        <f t="shared" si="95"/>
        <v>7.9636350118093191E-7</v>
      </c>
      <c r="AF63" s="28">
        <f t="shared" si="95"/>
        <v>3.6361969826991108E-11</v>
      </c>
      <c r="AG63" s="45"/>
      <c r="AH63" s="45"/>
      <c r="AI63" s="46">
        <f>IFERROR(IF(SUM(AG64:AG76)&gt;0.01,1-EXP(-SUM(AG64:AG76)),SUM(AG64:AG76)),".")</f>
        <v>1</v>
      </c>
      <c r="AJ63" s="46">
        <f>IFERROR(IF(SUM(AH64:AH76)&gt;0.01,1-EXP(-SUM(AH64:AH76)),SUM(AH64:AH76)),".")</f>
        <v>1</v>
      </c>
      <c r="AK63" s="46">
        <f>IFERROR(IF(SUM(AG64:AH76)&gt;0.01,1-EXP(-SUM(AG64:AH76)),SUM(AG64:AH76)),".")</f>
        <v>1</v>
      </c>
    </row>
    <row r="64" spans="1:37" x14ac:dyDescent="0.25">
      <c r="A64" s="29" t="s">
        <v>306</v>
      </c>
      <c r="B64" s="34">
        <v>1</v>
      </c>
      <c r="C64" s="2"/>
      <c r="D64" s="30">
        <f>IFERROR(D25/$B50,0)</f>
        <v>7.272727272727274E-8</v>
      </c>
      <c r="E64" s="30">
        <f>IFERROR(E25/$B50,0)</f>
        <v>9.0250320889537203E-5</v>
      </c>
      <c r="F64" s="30">
        <f>IFERROR(F25/$B50,0)</f>
        <v>5.1171960569550945E-5</v>
      </c>
      <c r="G64" s="30">
        <f t="shared" ref="G64:G76" si="96">IF(AND(D64&lt;&gt;0,E64&lt;&gt;0,F64&lt;&gt;0),1/((1/D64)+(1/E64)+(1/F64)),IF(AND(D64&lt;&gt;0,E64&lt;&gt;0,F64=0), 1/((1/D64)+(1/E64)),IF(AND(D64&lt;&gt;0,E64=0,F64&lt;&gt;0),1/((1/D64)+(1/F64)),IF(AND(D64=0,E64&lt;&gt;0,F64&lt;&gt;0),1/((1/E64)+(1/F64)),IF(AND(D64&lt;&gt;0,E64=0,F64=0),1/((1/D64)),IF(AND(D64=0,E64&lt;&gt;0,F64=0),1/((1/E64)),IF(AND(D64=0,E64=0,F64&lt;&gt;0),1/((1/F64)),IF(AND(D64=0,E64=0,F64=0),0))))))))</f>
        <v>7.2565663742643228E-8</v>
      </c>
      <c r="H64" s="38">
        <f>IFERROR(up_RadSpec!$I$25*H25,".")*$B$64</f>
        <v>687.5</v>
      </c>
      <c r="I64" s="38">
        <f>IFERROR(up_RadSpec!$G$25*I25,".")*$B$64</f>
        <v>0.55401465066476618</v>
      </c>
      <c r="J64" s="38">
        <f>IFERROR(up_RadSpec!$F$25*J25,".")*$B$64</f>
        <v>0.97709760273972601</v>
      </c>
      <c r="K64" s="47">
        <f t="shared" ref="K64:M76" si="97">IFERROR(IF(H64&gt;0.01,1-EXP(-H64),H64),".")</f>
        <v>1</v>
      </c>
      <c r="L64" s="47">
        <f t="shared" si="97"/>
        <v>0.42536179830386023</v>
      </c>
      <c r="M64" s="47">
        <f t="shared" si="97"/>
        <v>0.62359801691963745</v>
      </c>
      <c r="N64" s="47">
        <f t="shared" ref="N64:N76" si="98">IFERROR(IF(SUM(H64:J64)&gt;0.01,1-EXP(-SUM(H64:J64)),SUM(H64:J64)),".")</f>
        <v>1</v>
      </c>
      <c r="O64" s="30">
        <f t="shared" ref="O64:S64" si="99">IFERROR(O25/$B50,0)</f>
        <v>5.1171960569550945E-5</v>
      </c>
      <c r="P64" s="30">
        <f t="shared" si="99"/>
        <v>9.1638362553616787E-5</v>
      </c>
      <c r="Q64" s="30">
        <f t="shared" si="99"/>
        <v>6.5732694272020137E-5</v>
      </c>
      <c r="R64" s="30">
        <f t="shared" si="99"/>
        <v>5.8697641341709148E-5</v>
      </c>
      <c r="S64" s="30">
        <f t="shared" si="99"/>
        <v>1.6429752066115703E-4</v>
      </c>
      <c r="T64" s="38">
        <f>IFERROR(up_RadSpec!$F$25*T25,".")*$B$64</f>
        <v>0.97709760273972601</v>
      </c>
      <c r="U64" s="38">
        <f>IFERROR(up_RadSpec!$M$25*U25,".")*$B$64</f>
        <v>0.54562301864293428</v>
      </c>
      <c r="V64" s="38">
        <f>IFERROR(up_RadSpec!$N$25*V25,".")*$B$64</f>
        <v>0.76065648234478467</v>
      </c>
      <c r="W64" s="38">
        <f>IFERROR(up_RadSpec!$O$25*W25,".")*$B$64</f>
        <v>0.85182298397518741</v>
      </c>
      <c r="X64" s="38">
        <f>IFERROR(up_RadSpec!$K$25*X25,".")*$B$64</f>
        <v>0.30432595573440646</v>
      </c>
      <c r="Y64" s="47">
        <f t="shared" ref="Y64:AC76" si="100">IFERROR(IF(T64&gt;0.01,1-EXP(-T64),T64),".")</f>
        <v>0.62359801691963745</v>
      </c>
      <c r="Z64" s="47">
        <f t="shared" si="100"/>
        <v>0.42051935639105265</v>
      </c>
      <c r="AA64" s="47">
        <f t="shared" si="100"/>
        <v>0.53264048698983768</v>
      </c>
      <c r="AB64" s="47">
        <f t="shared" si="100"/>
        <v>0.57336352884660768</v>
      </c>
      <c r="AC64" s="47">
        <f t="shared" si="100"/>
        <v>0.26237960433647745</v>
      </c>
      <c r="AD64" s="30">
        <f t="shared" ref="AD64:AF64" si="101">IFERROR(AD25/$B50,0)</f>
        <v>2.9090909090909094E-10</v>
      </c>
      <c r="AE64" s="30">
        <f t="shared" si="101"/>
        <v>6.3709090909090908E-6</v>
      </c>
      <c r="AF64" s="30">
        <f t="shared" si="101"/>
        <v>2.9089580799548386E-10</v>
      </c>
      <c r="AG64" s="38">
        <f>IFERROR(up_RadSpec!$G$25*AG25,".")*$B$64</f>
        <v>171875</v>
      </c>
      <c r="AH64" s="38">
        <f>IFERROR(up_RadSpec!$J$25*AH25,".")*$B$64</f>
        <v>7.8481735159817356</v>
      </c>
      <c r="AI64" s="47">
        <f t="shared" ref="AI64:AJ76" si="102">IFERROR(IF(AG64&gt;0.01,1-EXP(-AG64),AG64),".")</f>
        <v>1</v>
      </c>
      <c r="AJ64" s="47">
        <f t="shared" si="102"/>
        <v>0.99960953550549536</v>
      </c>
      <c r="AK64" s="47">
        <f t="shared" ref="AK64:AK76" si="103">IFERROR(IF(SUM(AG64:AH64)&gt;0.01,1-EXP(-SUM(AG64:AH64)),SUM(AG64:AH64)),".")</f>
        <v>1</v>
      </c>
    </row>
    <row r="65" spans="1:37" x14ac:dyDescent="0.25">
      <c r="A65" s="29" t="s">
        <v>307</v>
      </c>
      <c r="B65" s="34">
        <v>1</v>
      </c>
      <c r="C65" s="2"/>
      <c r="D65" s="30">
        <f>IFERROR(D21/$B51,0)</f>
        <v>7.272727272727274E-8</v>
      </c>
      <c r="E65" s="30">
        <f>IFERROR(E21/$B51,0)</f>
        <v>9.0250320889537203E-5</v>
      </c>
      <c r="F65" s="30">
        <f>IFERROR(F21/$B51,0)</f>
        <v>0</v>
      </c>
      <c r="G65" s="30">
        <f t="shared" si="96"/>
        <v>7.26687134081846E-8</v>
      </c>
      <c r="H65" s="38">
        <f>IFERROR(up_RadSpec!$I$21*H21,".")*$B$65</f>
        <v>687.5</v>
      </c>
      <c r="I65" s="38">
        <f>IFERROR(up_RadSpec!$G$21*I21,".")*$B$65</f>
        <v>0.55401465066476618</v>
      </c>
      <c r="J65" s="38">
        <f>IFERROR(up_RadSpec!$F$21*J21,".")*$B$65</f>
        <v>0</v>
      </c>
      <c r="K65" s="47">
        <f t="shared" si="97"/>
        <v>1</v>
      </c>
      <c r="L65" s="47">
        <f t="shared" si="97"/>
        <v>0.42536179830386023</v>
      </c>
      <c r="M65" s="47">
        <f t="shared" si="97"/>
        <v>0</v>
      </c>
      <c r="N65" s="47">
        <f t="shared" si="98"/>
        <v>1</v>
      </c>
      <c r="O65" s="30">
        <f t="shared" ref="O65:S65" si="104">IFERROR(O21/$B51,0)</f>
        <v>0</v>
      </c>
      <c r="P65" s="30">
        <f t="shared" si="104"/>
        <v>0</v>
      </c>
      <c r="Q65" s="30">
        <f t="shared" si="104"/>
        <v>0</v>
      </c>
      <c r="R65" s="30">
        <f t="shared" si="104"/>
        <v>0</v>
      </c>
      <c r="S65" s="30">
        <f t="shared" si="104"/>
        <v>0</v>
      </c>
      <c r="T65" s="38">
        <f>IFERROR(up_RadSpec!$F$21*T21,".")*$B$65</f>
        <v>0</v>
      </c>
      <c r="U65" s="38">
        <f>IFERROR(up_RadSpec!$M$21*U21,".")*$B$65</f>
        <v>0</v>
      </c>
      <c r="V65" s="38">
        <f>IFERROR(up_RadSpec!$N$21*V21,".")*$B$65</f>
        <v>0</v>
      </c>
      <c r="W65" s="38">
        <f>IFERROR(up_RadSpec!$O$21*W21,".")*$B$65</f>
        <v>0</v>
      </c>
      <c r="X65" s="38">
        <f>IFERROR(up_RadSpec!$K$21*X21,".")*$B$65</f>
        <v>0</v>
      </c>
      <c r="Y65" s="47">
        <f t="shared" si="100"/>
        <v>0</v>
      </c>
      <c r="Z65" s="47">
        <f t="shared" si="100"/>
        <v>0</v>
      </c>
      <c r="AA65" s="47">
        <f t="shared" si="100"/>
        <v>0</v>
      </c>
      <c r="AB65" s="47">
        <f t="shared" si="100"/>
        <v>0</v>
      </c>
      <c r="AC65" s="47">
        <f t="shared" si="100"/>
        <v>0</v>
      </c>
      <c r="AD65" s="30">
        <f t="shared" ref="AD65:AF65" si="105">IFERROR(AD21/$B51,0)</f>
        <v>2.9090909090909094E-10</v>
      </c>
      <c r="AE65" s="30">
        <f t="shared" si="105"/>
        <v>6.3709090909090908E-6</v>
      </c>
      <c r="AF65" s="30">
        <f t="shared" si="105"/>
        <v>2.9089580799548386E-10</v>
      </c>
      <c r="AG65" s="38">
        <f>IFERROR(up_RadSpec!$G$21*AG21,".")*$B$65</f>
        <v>171875</v>
      </c>
      <c r="AH65" s="38">
        <f>IFERROR(up_RadSpec!$J$21*AH21,".")*$B$65</f>
        <v>7.8481735159817356</v>
      </c>
      <c r="AI65" s="47">
        <f t="shared" si="102"/>
        <v>1</v>
      </c>
      <c r="AJ65" s="47">
        <f t="shared" si="102"/>
        <v>0.99960953550549536</v>
      </c>
      <c r="AK65" s="47">
        <f t="shared" si="103"/>
        <v>1</v>
      </c>
    </row>
    <row r="66" spans="1:37" x14ac:dyDescent="0.25">
      <c r="A66" s="29" t="s">
        <v>308</v>
      </c>
      <c r="B66" s="35">
        <v>0.99980000000000002</v>
      </c>
      <c r="C66" s="2"/>
      <c r="D66" s="30">
        <f>IFERROR(D17/$B52,0)</f>
        <v>7.2741821091491036E-8</v>
      </c>
      <c r="E66" s="30">
        <f>IFERROR(E17/$B52,0)</f>
        <v>9.0268374564450091E-5</v>
      </c>
      <c r="F66" s="30">
        <f>IFERROR(F17/$B52,0)</f>
        <v>7.0342285694447007E-5</v>
      </c>
      <c r="G66" s="30">
        <f t="shared" si="96"/>
        <v>7.2608225458765041E-8</v>
      </c>
      <c r="H66" s="38">
        <f>IFERROR(up_RadSpec!$I$17*H17,".")*$B$66</f>
        <v>687.36250000000007</v>
      </c>
      <c r="I66" s="38">
        <f>IFERROR(up_RadSpec!$G$17*I17,".")*$B$66</f>
        <v>0.55390384773463319</v>
      </c>
      <c r="J66" s="38">
        <f>IFERROR(up_RadSpec!$F$17*J17,".")*$B$66</f>
        <v>0.71080999865699757</v>
      </c>
      <c r="K66" s="47">
        <f t="shared" si="97"/>
        <v>1</v>
      </c>
      <c r="L66" s="47">
        <f t="shared" si="97"/>
        <v>0.42529812317971594</v>
      </c>
      <c r="M66" s="47">
        <f t="shared" si="97"/>
        <v>0.50875387243889236</v>
      </c>
      <c r="N66" s="47">
        <f t="shared" si="98"/>
        <v>1</v>
      </c>
      <c r="O66" s="30">
        <f t="shared" ref="O66:S66" si="106">IFERROR(O17/$B52,0)</f>
        <v>7.0342285694447007E-5</v>
      </c>
      <c r="P66" s="30">
        <f t="shared" si="106"/>
        <v>1.2293785520792731E-4</v>
      </c>
      <c r="Q66" s="30">
        <f t="shared" si="106"/>
        <v>9.2623153705958522E-5</v>
      </c>
      <c r="R66" s="30">
        <f t="shared" si="106"/>
        <v>8.2363423450425844E-5</v>
      </c>
      <c r="S66" s="30">
        <f t="shared" si="106"/>
        <v>2.3556566311846343E-4</v>
      </c>
      <c r="T66" s="38">
        <f>IFERROR(up_RadSpec!$F$17*T17,".")*$B$66</f>
        <v>0.71080999865699757</v>
      </c>
      <c r="U66" s="38">
        <f>IFERROR(up_RadSpec!$M$17*U17,".")*$B$66</f>
        <v>0.40670955187426988</v>
      </c>
      <c r="V66" s="38">
        <f>IFERROR(up_RadSpec!$N$17*V17,".")*$B$66</f>
        <v>0.53982182639483445</v>
      </c>
      <c r="W66" s="38">
        <f>IFERROR(up_RadSpec!$O$17*W17,".")*$B$66</f>
        <v>0.60706558694824997</v>
      </c>
      <c r="X66" s="38">
        <f>IFERROR(up_RadSpec!$K$17*X17,".")*$B$66</f>
        <v>0.21225504319301217</v>
      </c>
      <c r="Y66" s="47">
        <f t="shared" si="100"/>
        <v>0.50875387243889236</v>
      </c>
      <c r="Z66" s="47">
        <f t="shared" si="100"/>
        <v>0.33416244651137428</v>
      </c>
      <c r="AA66" s="47">
        <f t="shared" si="100"/>
        <v>0.41714790801851698</v>
      </c>
      <c r="AB66" s="47">
        <f t="shared" si="100"/>
        <v>0.45505237341634774</v>
      </c>
      <c r="AC66" s="47">
        <f t="shared" si="100"/>
        <v>0.19124159706486266</v>
      </c>
      <c r="AD66" s="30">
        <f t="shared" ref="AD66:AF66" si="107">IFERROR(AD17/$B52,0)</f>
        <v>2.9096728436596413E-10</v>
      </c>
      <c r="AE66" s="30">
        <f t="shared" si="107"/>
        <v>6.3721835276146137E-6</v>
      </c>
      <c r="AF66" s="30">
        <f t="shared" si="107"/>
        <v>2.9095399879524292E-10</v>
      </c>
      <c r="AG66" s="38">
        <f>IFERROR(up_RadSpec!$G$17*AG17,".")*$B$66</f>
        <v>171840.625</v>
      </c>
      <c r="AH66" s="38">
        <f>IFERROR(up_RadSpec!$J$17*AH17,".")*$B$66</f>
        <v>7.846603881278539</v>
      </c>
      <c r="AI66" s="47">
        <f t="shared" si="102"/>
        <v>1</v>
      </c>
      <c r="AJ66" s="47">
        <f t="shared" si="102"/>
        <v>0.99960892213761854</v>
      </c>
      <c r="AK66" s="47">
        <f t="shared" si="103"/>
        <v>1</v>
      </c>
    </row>
    <row r="67" spans="1:37" x14ac:dyDescent="0.25">
      <c r="A67" s="29" t="s">
        <v>309</v>
      </c>
      <c r="B67" s="34">
        <v>2.0000000000000001E-4</v>
      </c>
      <c r="C67" s="2"/>
      <c r="D67" s="30">
        <f>IFERROR(D5/$B53,0)</f>
        <v>3.6363636363636367E-4</v>
      </c>
      <c r="E67" s="30">
        <f>IFERROR(E5/$B53,0)</f>
        <v>0.45125160444768597</v>
      </c>
      <c r="F67" s="30">
        <f>IFERROR(F5/$B53,0)</f>
        <v>0</v>
      </c>
      <c r="G67" s="30">
        <f t="shared" si="96"/>
        <v>3.6334356704092303E-4</v>
      </c>
      <c r="H67" s="38">
        <f>IFERROR(up_RadSpec!$I$5*H5,".")*$B$67</f>
        <v>0.13750000000000001</v>
      </c>
      <c r="I67" s="38">
        <f>IFERROR(up_RadSpec!$G$5*I5,".")*$B$67</f>
        <v>1.1080293013295324E-4</v>
      </c>
      <c r="J67" s="38">
        <f>IFERROR(up_RadSpec!$F$5*J5,".")*$B$67</f>
        <v>0</v>
      </c>
      <c r="K67" s="47">
        <f t="shared" si="97"/>
        <v>0.12846565000284216</v>
      </c>
      <c r="L67" s="47">
        <f t="shared" si="97"/>
        <v>1.1080293013295324E-4</v>
      </c>
      <c r="M67" s="47">
        <f t="shared" si="97"/>
        <v>0</v>
      </c>
      <c r="N67" s="47">
        <f t="shared" si="98"/>
        <v>0.12856221321269123</v>
      </c>
      <c r="O67" s="30">
        <f t="shared" ref="O67:S67" si="108">IFERROR(O5/$B53,0)</f>
        <v>0</v>
      </c>
      <c r="P67" s="30">
        <f t="shared" si="108"/>
        <v>0</v>
      </c>
      <c r="Q67" s="30">
        <f t="shared" si="108"/>
        <v>0</v>
      </c>
      <c r="R67" s="30">
        <f t="shared" si="108"/>
        <v>0</v>
      </c>
      <c r="S67" s="30">
        <f t="shared" si="108"/>
        <v>0</v>
      </c>
      <c r="T67" s="38">
        <f>IFERROR(up_RadSpec!$F$5*T5,".")*$B$67</f>
        <v>0</v>
      </c>
      <c r="U67" s="38">
        <f>IFERROR(up_RadSpec!$M$5*U5,".")*$B$67</f>
        <v>0</v>
      </c>
      <c r="V67" s="38">
        <f>IFERROR(up_RadSpec!$N$5*V5,".")*$B$67</f>
        <v>0</v>
      </c>
      <c r="W67" s="38">
        <f>IFERROR(up_RadSpec!$O$5*W5,".")*$B$67</f>
        <v>0</v>
      </c>
      <c r="X67" s="38">
        <f>IFERROR(up_RadSpec!$K$5*X5,".")*$B$67</f>
        <v>0</v>
      </c>
      <c r="Y67" s="47">
        <f t="shared" si="100"/>
        <v>0</v>
      </c>
      <c r="Z67" s="47">
        <f t="shared" si="100"/>
        <v>0</v>
      </c>
      <c r="AA67" s="47">
        <f t="shared" si="100"/>
        <v>0</v>
      </c>
      <c r="AB67" s="47">
        <f t="shared" si="100"/>
        <v>0</v>
      </c>
      <c r="AC67" s="47">
        <f t="shared" si="100"/>
        <v>0</v>
      </c>
      <c r="AD67" s="30">
        <f t="shared" ref="AD67:AF67" si="109">IFERROR(AD5/$B53,0)</f>
        <v>1.4545454545454546E-6</v>
      </c>
      <c r="AE67" s="30">
        <f t="shared" si="109"/>
        <v>3.1854545454545455E-2</v>
      </c>
      <c r="AF67" s="30">
        <f t="shared" si="109"/>
        <v>1.4544790399774192E-6</v>
      </c>
      <c r="AG67" s="38">
        <f>IFERROR(up_RadSpec!$G$5*AG5,".")*$B$67</f>
        <v>34.375</v>
      </c>
      <c r="AH67" s="38">
        <f>IFERROR(up_RadSpec!$J$5*AH5,".")*$B$67</f>
        <v>1.5696347031963472E-3</v>
      </c>
      <c r="AI67" s="47">
        <f t="shared" si="102"/>
        <v>0.99999999999999878</v>
      </c>
      <c r="AJ67" s="47">
        <f t="shared" si="102"/>
        <v>1.5696347031963472E-3</v>
      </c>
      <c r="AK67" s="47">
        <f t="shared" si="103"/>
        <v>0.99999999999999878</v>
      </c>
    </row>
    <row r="68" spans="1:37" x14ac:dyDescent="0.25">
      <c r="A68" s="29" t="s">
        <v>310</v>
      </c>
      <c r="B68" s="34">
        <v>0.99999979999999999</v>
      </c>
      <c r="C68" s="2"/>
      <c r="D68" s="30">
        <f>IFERROR(D9/$B54,0)</f>
        <v>7.2727287272730192E-8</v>
      </c>
      <c r="E68" s="30">
        <f>IFERROR(E9/$B54,0)</f>
        <v>9.0250338939604991E-5</v>
      </c>
      <c r="F68" s="30">
        <f>IFERROR(F9/$B54,0)</f>
        <v>2.600218650537089E-5</v>
      </c>
      <c r="G68" s="30">
        <f t="shared" si="96"/>
        <v>7.2466205474463068E-8</v>
      </c>
      <c r="H68" s="38">
        <f>IFERROR(up_RadSpec!$I$9*H9,".")*$B$68</f>
        <v>687.49986249999995</v>
      </c>
      <c r="I68" s="38">
        <f>IFERROR(up_RadSpec!$G$9*I9,".")*$B$68</f>
        <v>0.55401453986183602</v>
      </c>
      <c r="J68" s="38">
        <f>IFERROR(up_RadSpec!$F$9*J9,".")*$B$68</f>
        <v>1.9229152129061235</v>
      </c>
      <c r="K68" s="47">
        <f t="shared" si="97"/>
        <v>1</v>
      </c>
      <c r="L68" s="47">
        <f t="shared" si="97"/>
        <v>0.42536173463226024</v>
      </c>
      <c r="M68" s="47">
        <f t="shared" si="97"/>
        <v>0.85381980601553686</v>
      </c>
      <c r="N68" s="47">
        <f t="shared" si="98"/>
        <v>1</v>
      </c>
      <c r="O68" s="30">
        <f t="shared" ref="O68:S68" si="110">IFERROR(O9/$B54,0)</f>
        <v>2.600218650537089E-5</v>
      </c>
      <c r="P68" s="30">
        <f t="shared" si="110"/>
        <v>5.3256828833183977E-5</v>
      </c>
      <c r="Q68" s="30">
        <f t="shared" si="110"/>
        <v>3.7472546918109186E-5</v>
      </c>
      <c r="R68" s="30">
        <f t="shared" si="110"/>
        <v>3.0889262376199585E-5</v>
      </c>
      <c r="S68" s="30">
        <f t="shared" si="110"/>
        <v>9.4332728410522875E-5</v>
      </c>
      <c r="T68" s="38">
        <f>IFERROR(up_RadSpec!$F$9*T9,".")*$B$68</f>
        <v>1.9229152129061235</v>
      </c>
      <c r="U68" s="38">
        <f>IFERROR(up_RadSpec!$M$9*U9,".")*$B$68</f>
        <v>0.93884673750693426</v>
      </c>
      <c r="V68" s="38">
        <f>IFERROR(up_RadSpec!$N$9*V9,".")*$B$68</f>
        <v>1.3343101580276284</v>
      </c>
      <c r="W68" s="38">
        <f>IFERROR(up_RadSpec!$O$9*W9,".")*$B$68</f>
        <v>1.6186854639340753</v>
      </c>
      <c r="X68" s="38">
        <f>IFERROR(up_RadSpec!$K$9*X9,".")*$B$68</f>
        <v>0.53003873462036399</v>
      </c>
      <c r="Y68" s="47">
        <f t="shared" si="100"/>
        <v>0.85381980601553686</v>
      </c>
      <c r="Z68" s="47">
        <f t="shared" si="100"/>
        <v>0.60892140834000386</v>
      </c>
      <c r="AA68" s="47">
        <f t="shared" si="100"/>
        <v>0.73666022435865575</v>
      </c>
      <c r="AB68" s="47">
        <f t="shared" si="100"/>
        <v>0.80184098487911615</v>
      </c>
      <c r="AC68" s="47">
        <f t="shared" si="100"/>
        <v>0.41141782927013248</v>
      </c>
      <c r="AD68" s="30">
        <f t="shared" ref="AD68:AF68" si="111">IFERROR(AD9/$B54,0)</f>
        <v>2.9090914909092077E-10</v>
      </c>
      <c r="AE68" s="30">
        <f t="shared" si="111"/>
        <v>6.3709103650911641E-6</v>
      </c>
      <c r="AF68" s="30">
        <f t="shared" si="111"/>
        <v>2.908958661746571E-10</v>
      </c>
      <c r="AG68" s="38">
        <f>IFERROR(up_RadSpec!$G$9*AG9,".")*$B$68</f>
        <v>171874.96562500001</v>
      </c>
      <c r="AH68" s="38">
        <f>IFERROR(up_RadSpec!$J$9*AH9,".")*$B$68</f>
        <v>7.8481719463470325</v>
      </c>
      <c r="AI68" s="47">
        <f t="shared" si="102"/>
        <v>1</v>
      </c>
      <c r="AJ68" s="47">
        <f t="shared" si="102"/>
        <v>0.99960953489260818</v>
      </c>
      <c r="AK68" s="47">
        <f t="shared" si="103"/>
        <v>1</v>
      </c>
    </row>
    <row r="69" spans="1:37" x14ac:dyDescent="0.25">
      <c r="A69" s="29" t="s">
        <v>311</v>
      </c>
      <c r="B69" s="34">
        <v>1.9999999999999999E-7</v>
      </c>
      <c r="C69" s="2"/>
      <c r="D69" s="30">
        <f>IFERROR(D24/$B55,0)</f>
        <v>0.3636363636363637</v>
      </c>
      <c r="E69" s="30">
        <f>IFERROR(E24/$B55,0)</f>
        <v>451.25160444768602</v>
      </c>
      <c r="F69" s="30">
        <f>IFERROR(F24/$B55,0)</f>
        <v>229.43681137790276</v>
      </c>
      <c r="G69" s="30">
        <f t="shared" si="96"/>
        <v>0.36276907418324134</v>
      </c>
      <c r="H69" s="38">
        <f>IFERROR(up_RadSpec!$I$24*H24,".")*$B$69</f>
        <v>1.3749999999999998E-4</v>
      </c>
      <c r="I69" s="38">
        <f>IFERROR(up_RadSpec!$G$24*I24,".")*$B$69</f>
        <v>1.1080293013295323E-7</v>
      </c>
      <c r="J69" s="38">
        <f>IFERROR(up_RadSpec!$F$24*J24,".")*$B$69</f>
        <v>2.1792492538455646E-7</v>
      </c>
      <c r="K69" s="47">
        <f t="shared" si="97"/>
        <v>1.3749999999999998E-4</v>
      </c>
      <c r="L69" s="47">
        <f t="shared" si="97"/>
        <v>1.1080293013295323E-7</v>
      </c>
      <c r="M69" s="47">
        <f t="shared" si="97"/>
        <v>2.1792492538455646E-7</v>
      </c>
      <c r="N69" s="47">
        <f t="shared" si="98"/>
        <v>1.3782872785551747E-4</v>
      </c>
      <c r="O69" s="30">
        <f t="shared" ref="O69:S69" si="112">IFERROR(O24/$B55,0)</f>
        <v>229.43681137790276</v>
      </c>
      <c r="P69" s="30">
        <f t="shared" si="112"/>
        <v>415.97237211310181</v>
      </c>
      <c r="Q69" s="30">
        <f t="shared" si="112"/>
        <v>293.70337401551672</v>
      </c>
      <c r="R69" s="30">
        <f t="shared" si="112"/>
        <v>245.26136013662966</v>
      </c>
      <c r="S69" s="30">
        <f t="shared" si="112"/>
        <v>691.34865134865106</v>
      </c>
      <c r="T69" s="38">
        <f>IFERROR(up_RadSpec!$F$24*T24,".")*$B$69</f>
        <v>2.1792492538455646E-7</v>
      </c>
      <c r="U69" s="38">
        <f>IFERROR(up_RadSpec!$M$24*U24,".")*$B$69</f>
        <v>1.2020029057700292E-7</v>
      </c>
      <c r="V69" s="38">
        <f>IFERROR(up_RadSpec!$N$24*V24,".")*$B$69</f>
        <v>1.7023978756661627E-7</v>
      </c>
      <c r="W69" s="38">
        <f>IFERROR(up_RadSpec!$O$24*W24,".")*$B$69</f>
        <v>2.0386415525114157E-7</v>
      </c>
      <c r="X69" s="38">
        <f>IFERROR(up_RadSpec!$K$24*X24,".")*$B$69</f>
        <v>7.2322409109300078E-8</v>
      </c>
      <c r="Y69" s="47">
        <f t="shared" si="100"/>
        <v>2.1792492538455646E-7</v>
      </c>
      <c r="Z69" s="47">
        <f t="shared" si="100"/>
        <v>1.2020029057700292E-7</v>
      </c>
      <c r="AA69" s="47">
        <f t="shared" si="100"/>
        <v>1.7023978756661627E-7</v>
      </c>
      <c r="AB69" s="47">
        <f t="shared" si="100"/>
        <v>2.0386415525114157E-7</v>
      </c>
      <c r="AC69" s="47">
        <f t="shared" si="100"/>
        <v>7.2322409109300078E-8</v>
      </c>
      <c r="AD69" s="30">
        <f t="shared" ref="AD69:AF69" si="113">IFERROR(AD24/$B55,0)</f>
        <v>1.4545454545454547E-3</v>
      </c>
      <c r="AE69" s="30">
        <f t="shared" si="113"/>
        <v>31.854545454545455</v>
      </c>
      <c r="AF69" s="30">
        <f t="shared" si="113"/>
        <v>1.4544790399774194E-3</v>
      </c>
      <c r="AG69" s="38">
        <f>IFERROR(up_RadSpec!$G$24*AG24,".")*$B$69</f>
        <v>3.4374999999999996E-2</v>
      </c>
      <c r="AH69" s="38">
        <f>IFERROR(up_RadSpec!$J$24*AH24,".")*$B$69</f>
        <v>1.5696347031963471E-6</v>
      </c>
      <c r="AI69" s="47">
        <f t="shared" si="102"/>
        <v>3.379089172316796E-2</v>
      </c>
      <c r="AJ69" s="47">
        <f t="shared" si="102"/>
        <v>1.5696347031963471E-6</v>
      </c>
      <c r="AK69" s="47">
        <f t="shared" si="103"/>
        <v>3.3792408317324552E-2</v>
      </c>
    </row>
    <row r="70" spans="1:37" x14ac:dyDescent="0.25">
      <c r="A70" s="29" t="s">
        <v>312</v>
      </c>
      <c r="B70" s="34">
        <v>0.99979000004200003</v>
      </c>
      <c r="C70" s="2"/>
      <c r="D70" s="30">
        <f>IFERROR(D20/$B56,0)</f>
        <v>7.2742548659436027E-8</v>
      </c>
      <c r="E70" s="30">
        <f>IFERROR(E20/$B56,0)</f>
        <v>9.0269277434007028E-5</v>
      </c>
      <c r="F70" s="30">
        <f>IFERROR(F20/$B56,0)</f>
        <v>3.5946960422736814E-5</v>
      </c>
      <c r="G70" s="30">
        <f t="shared" si="96"/>
        <v>7.2537308170963332E-8</v>
      </c>
      <c r="H70" s="38">
        <f>IFERROR(up_RadSpec!$I$20*H20,".")*$B$70</f>
        <v>687.35562502887501</v>
      </c>
      <c r="I70" s="38">
        <f>IFERROR(up_RadSpec!$G$20*I20,".")*$B$70</f>
        <v>0.55389830761139525</v>
      </c>
      <c r="J70" s="38">
        <f>IFERROR(up_RadSpec!$F$20*J20,".")*$B$70</f>
        <v>1.3909381881527458</v>
      </c>
      <c r="K70" s="47">
        <f t="shared" si="97"/>
        <v>1</v>
      </c>
      <c r="L70" s="47">
        <f t="shared" si="97"/>
        <v>0.42529493925167361</v>
      </c>
      <c r="M70" s="47">
        <f t="shared" si="97"/>
        <v>0.75115826528488228</v>
      </c>
      <c r="N70" s="47">
        <f t="shared" si="98"/>
        <v>1</v>
      </c>
      <c r="O70" s="30">
        <f t="shared" ref="O70:S70" si="114">IFERROR(O20/$B56,0)</f>
        <v>3.5946960422736814E-5</v>
      </c>
      <c r="P70" s="30">
        <f t="shared" si="114"/>
        <v>7.0890810480460354E-5</v>
      </c>
      <c r="Q70" s="30">
        <f t="shared" si="114"/>
        <v>4.9600825761736339E-5</v>
      </c>
      <c r="R70" s="30">
        <f t="shared" si="114"/>
        <v>4.1648674918735949E-5</v>
      </c>
      <c r="S70" s="30">
        <f t="shared" si="114"/>
        <v>1.2079522776261757E-4</v>
      </c>
      <c r="T70" s="38">
        <f>IFERROR(up_RadSpec!$F$20*T20,".")*$B$70</f>
        <v>1.3909381881527458</v>
      </c>
      <c r="U70" s="38">
        <f>IFERROR(up_RadSpec!$M$20*U20,".")*$B$70</f>
        <v>0.7053100347016279</v>
      </c>
      <c r="V70" s="38">
        <f>IFERROR(up_RadSpec!$N$20*V20,".")*$B$70</f>
        <v>1.008047733724861</v>
      </c>
      <c r="W70" s="38">
        <f>IFERROR(up_RadSpec!$O$20*W20,".")*$B$70</f>
        <v>1.2005183861805691</v>
      </c>
      <c r="X70" s="38">
        <f>IFERROR(up_RadSpec!$K$20*X20,".")*$B$70</f>
        <v>0.41392363693587469</v>
      </c>
      <c r="Y70" s="47">
        <f t="shared" si="100"/>
        <v>0.75115826528488228</v>
      </c>
      <c r="Z70" s="47">
        <f t="shared" si="100"/>
        <v>0.50604459280347092</v>
      </c>
      <c r="AA70" s="47">
        <f t="shared" si="100"/>
        <v>0.63506927346415554</v>
      </c>
      <c r="AB70" s="47">
        <f t="shared" si="100"/>
        <v>0.69896188254282088</v>
      </c>
      <c r="AC70" s="47">
        <f t="shared" si="100"/>
        <v>0.33894857074875684</v>
      </c>
      <c r="AD70" s="30">
        <f t="shared" ref="AD70:AF70" si="115">IFERROR(AD20/$B56,0)</f>
        <v>2.9097019463774413E-10</v>
      </c>
      <c r="AE70" s="30">
        <f t="shared" si="115"/>
        <v>6.372247262566595E-6</v>
      </c>
      <c r="AF70" s="30">
        <f t="shared" si="115"/>
        <v>2.9095690893413982E-10</v>
      </c>
      <c r="AG70" s="38">
        <f>IFERROR(up_RadSpec!$G$20*AG20,".")*$B$70</f>
        <v>171838.90625721877</v>
      </c>
      <c r="AH70" s="38">
        <f>IFERROR(up_RadSpec!$J$20*AH20,".")*$B$70</f>
        <v>7.8465253998730029</v>
      </c>
      <c r="AI70" s="47">
        <f t="shared" si="102"/>
        <v>1</v>
      </c>
      <c r="AJ70" s="47">
        <f t="shared" si="102"/>
        <v>0.99960889144407383</v>
      </c>
      <c r="AK70" s="47">
        <f t="shared" si="103"/>
        <v>1</v>
      </c>
    </row>
    <row r="71" spans="1:37" x14ac:dyDescent="0.25">
      <c r="A71" s="29" t="s">
        <v>313</v>
      </c>
      <c r="B71" s="34">
        <v>2.0999995799999999E-4</v>
      </c>
      <c r="C71" s="2"/>
      <c r="D71" s="30">
        <f>IFERROR(D29/$B57,0)</f>
        <v>3.463204155844295E-4</v>
      </c>
      <c r="E71" s="30">
        <f>IFERROR(E29/$B57,0)</f>
        <v>0.42976351876002378</v>
      </c>
      <c r="F71" s="30">
        <f>IFERROR(F29/$B57,0)</f>
        <v>0.13469593212689498</v>
      </c>
      <c r="G71" s="30">
        <f t="shared" si="96"/>
        <v>3.4515483908484449E-4</v>
      </c>
      <c r="H71" s="38">
        <f>IFERROR(up_RadSpec!$I$29*H29,".")*$B$71</f>
        <v>0.144374971125</v>
      </c>
      <c r="I71" s="38">
        <f>IFERROR(up_RadSpec!$G$29*I29,".")*$B$71</f>
        <v>1.1634305337098556E-4</v>
      </c>
      <c r="J71" s="38">
        <f>IFERROR(up_RadSpec!$F$29*J29,".")*$B$71</f>
        <v>3.7120645895152773E-4</v>
      </c>
      <c r="K71" s="47">
        <f t="shared" si="97"/>
        <v>0.13443687397805959</v>
      </c>
      <c r="L71" s="47">
        <f t="shared" si="97"/>
        <v>1.1634305337098556E-4</v>
      </c>
      <c r="M71" s="47">
        <f t="shared" si="97"/>
        <v>3.7120645895152773E-4</v>
      </c>
      <c r="N71" s="47">
        <f t="shared" si="98"/>
        <v>0.13485877600061602</v>
      </c>
      <c r="O71" s="30">
        <f t="shared" ref="O71:S71" si="116">IFERROR(O29/$B57,0)</f>
        <v>0.13469593212689498</v>
      </c>
      <c r="P71" s="30">
        <f t="shared" si="116"/>
        <v>0.26878109727410504</v>
      </c>
      <c r="Q71" s="30">
        <f t="shared" si="116"/>
        <v>0.19147851056235177</v>
      </c>
      <c r="R71" s="30">
        <f t="shared" si="116"/>
        <v>0.16242320930781862</v>
      </c>
      <c r="S71" s="30">
        <f t="shared" si="116"/>
        <v>0.48264472462811853</v>
      </c>
      <c r="T71" s="38">
        <f>IFERROR(up_RadSpec!$F$29*T29,".")*$B$71</f>
        <v>3.7120645895152773E-4</v>
      </c>
      <c r="U71" s="38">
        <f>IFERROR(up_RadSpec!$M$29*U29,".")*$B$71</f>
        <v>1.8602498653024559E-4</v>
      </c>
      <c r="V71" s="38">
        <f>IFERROR(up_RadSpec!$N$29*V29,".")*$B$71</f>
        <v>2.6112590834948213E-4</v>
      </c>
      <c r="W71" s="38">
        <f>IFERROR(up_RadSpec!$O$29*W29,".")*$B$71</f>
        <v>3.0783777892999157E-4</v>
      </c>
      <c r="X71" s="38">
        <f>IFERROR(up_RadSpec!$K$29*X29,".")*$B$71</f>
        <v>1.0359586969178082E-4</v>
      </c>
      <c r="Y71" s="47">
        <f t="shared" si="100"/>
        <v>3.7120645895152773E-4</v>
      </c>
      <c r="Z71" s="47">
        <f t="shared" si="100"/>
        <v>1.8602498653024559E-4</v>
      </c>
      <c r="AA71" s="47">
        <f t="shared" si="100"/>
        <v>2.6112590834948213E-4</v>
      </c>
      <c r="AB71" s="47">
        <f t="shared" si="100"/>
        <v>3.0783777892999157E-4</v>
      </c>
      <c r="AC71" s="47">
        <f t="shared" si="100"/>
        <v>1.0359586969178082E-4</v>
      </c>
      <c r="AD71" s="30">
        <f t="shared" ref="AD71:AF71" si="117">IFERROR(AD29/$B57,0)</f>
        <v>1.385281662337718E-6</v>
      </c>
      <c r="AE71" s="30">
        <f t="shared" si="117"/>
        <v>3.0337668405196021E-2</v>
      </c>
      <c r="AF71" s="30">
        <f t="shared" si="117"/>
        <v>1.3852184103555101E-6</v>
      </c>
      <c r="AG71" s="38">
        <f>IFERROR(up_RadSpec!$G$29*AG29,".")*$B$71</f>
        <v>36.09374278125</v>
      </c>
      <c r="AH71" s="38">
        <f>IFERROR(up_RadSpec!$J$29*AH29,".")*$B$71</f>
        <v>1.6481161087328767E-3</v>
      </c>
      <c r="AI71" s="47">
        <f t="shared" si="102"/>
        <v>0.99999999999999978</v>
      </c>
      <c r="AJ71" s="47">
        <f t="shared" si="102"/>
        <v>1.6481161087328767E-3</v>
      </c>
      <c r="AK71" s="47">
        <f t="shared" si="103"/>
        <v>0.99999999999999978</v>
      </c>
    </row>
    <row r="72" spans="1:37" x14ac:dyDescent="0.25">
      <c r="A72" s="29" t="s">
        <v>314</v>
      </c>
      <c r="B72" s="34">
        <v>1</v>
      </c>
      <c r="C72" s="2"/>
      <c r="D72" s="30">
        <f>IFERROR(D16/$B58,0)</f>
        <v>7.272727272727274E-8</v>
      </c>
      <c r="E72" s="30">
        <f>IFERROR(E16/$B58,0)</f>
        <v>9.0250320889537203E-5</v>
      </c>
      <c r="F72" s="30">
        <f>IFERROR(F16/$B58,0)</f>
        <v>0.76494620302510574</v>
      </c>
      <c r="G72" s="30">
        <f t="shared" si="96"/>
        <v>7.26687065047692E-8</v>
      </c>
      <c r="H72" s="38">
        <f>IFERROR(up_RadSpec!$I$16*H16,".")*$B$72</f>
        <v>687.5</v>
      </c>
      <c r="I72" s="38">
        <f>IFERROR(up_RadSpec!$G$16*I16,".")*$B$72</f>
        <v>0.55401465066476618</v>
      </c>
      <c r="J72" s="38">
        <f>IFERROR(up_RadSpec!$F$16*J16,".")*$B$72</f>
        <v>6.5364073711676431E-5</v>
      </c>
      <c r="K72" s="47">
        <f t="shared" si="97"/>
        <v>1</v>
      </c>
      <c r="L72" s="47">
        <f t="shared" si="97"/>
        <v>0.42536179830386023</v>
      </c>
      <c r="M72" s="47">
        <f t="shared" si="97"/>
        <v>6.5364073711676431E-5</v>
      </c>
      <c r="N72" s="47">
        <f t="shared" si="98"/>
        <v>1</v>
      </c>
      <c r="O72" s="30">
        <f t="shared" ref="O72:S72" si="118">IFERROR(O16/$B58,0)</f>
        <v>0.76494620302510574</v>
      </c>
      <c r="P72" s="30">
        <f t="shared" si="118"/>
        <v>1.3623429416112349</v>
      </c>
      <c r="Q72" s="30">
        <f t="shared" si="118"/>
        <v>0.81841380561977772</v>
      </c>
      <c r="R72" s="30">
        <f t="shared" si="118"/>
        <v>0.82264249380461774</v>
      </c>
      <c r="S72" s="30">
        <f t="shared" si="118"/>
        <v>31.854545454545459</v>
      </c>
      <c r="T72" s="38">
        <f>IFERROR(up_RadSpec!$F$16*T16,".")*$B$72</f>
        <v>6.5364073711676431E-5</v>
      </c>
      <c r="U72" s="38">
        <f>IFERROR(up_RadSpec!$M$16*U16,".")*$B$72</f>
        <v>3.6701478367014769E-5</v>
      </c>
      <c r="V72" s="38">
        <f>IFERROR(up_RadSpec!$N$16*V16,".")*$B$72</f>
        <v>6.1093788565963199E-5</v>
      </c>
      <c r="W72" s="38">
        <f>IFERROR(up_RadSpec!$O$16*W16,".")*$B$72</f>
        <v>6.077974378488074E-5</v>
      </c>
      <c r="X72" s="38">
        <f>IFERROR(up_RadSpec!$K$16*X16,".")*$B$72</f>
        <v>1.5696347031963469E-6</v>
      </c>
      <c r="Y72" s="47">
        <f t="shared" si="100"/>
        <v>6.5364073711676431E-5</v>
      </c>
      <c r="Z72" s="47">
        <f t="shared" si="100"/>
        <v>3.6701478367014769E-5</v>
      </c>
      <c r="AA72" s="47">
        <f t="shared" si="100"/>
        <v>6.1093788565963199E-5</v>
      </c>
      <c r="AB72" s="47">
        <f t="shared" si="100"/>
        <v>6.077974378488074E-5</v>
      </c>
      <c r="AC72" s="47">
        <f t="shared" si="100"/>
        <v>1.5696347031963469E-6</v>
      </c>
      <c r="AD72" s="30">
        <f t="shared" ref="AD72:AF72" si="119">IFERROR(AD16/$B58,0)</f>
        <v>2.9090909090909094E-10</v>
      </c>
      <c r="AE72" s="30">
        <f t="shared" si="119"/>
        <v>6.3709090909090908E-6</v>
      </c>
      <c r="AF72" s="30">
        <f t="shared" si="119"/>
        <v>2.9089580799548386E-10</v>
      </c>
      <c r="AG72" s="38">
        <f>IFERROR(up_RadSpec!$G$16*AG16,".")*$B$72</f>
        <v>171875</v>
      </c>
      <c r="AH72" s="38">
        <f>IFERROR(up_RadSpec!$J$16*AH16,".")*$B$72</f>
        <v>7.8481735159817356</v>
      </c>
      <c r="AI72" s="47">
        <f t="shared" si="102"/>
        <v>1</v>
      </c>
      <c r="AJ72" s="47">
        <f t="shared" si="102"/>
        <v>0.99960953550549536</v>
      </c>
      <c r="AK72" s="47">
        <f t="shared" si="103"/>
        <v>1</v>
      </c>
    </row>
    <row r="73" spans="1:37" x14ac:dyDescent="0.25">
      <c r="A73" s="29" t="s">
        <v>315</v>
      </c>
      <c r="B73" s="34">
        <v>1</v>
      </c>
      <c r="C73" s="2"/>
      <c r="D73" s="30">
        <f>IFERROR(D7/$B59,0)</f>
        <v>7.272727272727274E-8</v>
      </c>
      <c r="E73" s="30">
        <f>IFERROR(E7/$B59,0)</f>
        <v>9.0250320889537203E-5</v>
      </c>
      <c r="F73" s="30">
        <f>IFERROR(F7/$B59,0)</f>
        <v>9.1843397478433964E-5</v>
      </c>
      <c r="G73" s="30">
        <f t="shared" si="96"/>
        <v>7.2611261624974268E-8</v>
      </c>
      <c r="H73" s="38">
        <f>IFERROR(up_RadSpec!$I$7*H7,".")*$B$73</f>
        <v>687.5</v>
      </c>
      <c r="I73" s="38">
        <f>IFERROR(up_RadSpec!$G$7*I7,".")*$B$73</f>
        <v>0.55401465066476618</v>
      </c>
      <c r="J73" s="38">
        <f>IFERROR(up_RadSpec!$F$7*J7,".")*$B$73</f>
        <v>0.54440494769088521</v>
      </c>
      <c r="K73" s="47">
        <f t="shared" si="97"/>
        <v>1</v>
      </c>
      <c r="L73" s="47">
        <f t="shared" si="97"/>
        <v>0.42536179830386023</v>
      </c>
      <c r="M73" s="47">
        <f t="shared" si="97"/>
        <v>0.41981307779039945</v>
      </c>
      <c r="N73" s="47">
        <f t="shared" si="98"/>
        <v>1</v>
      </c>
      <c r="O73" s="30">
        <f t="shared" ref="O73:S73" si="120">IFERROR(O7/$B59,0)</f>
        <v>9.1843397478433964E-5</v>
      </c>
      <c r="P73" s="30">
        <f t="shared" si="120"/>
        <v>1.4611153552330033E-4</v>
      </c>
      <c r="Q73" s="30">
        <f t="shared" si="120"/>
        <v>1.0704545454545457E-4</v>
      </c>
      <c r="R73" s="30">
        <f t="shared" si="120"/>
        <v>9.8471359678034887E-5</v>
      </c>
      <c r="S73" s="30">
        <f t="shared" si="120"/>
        <v>2.500423640530592E-4</v>
      </c>
      <c r="T73" s="38">
        <f>IFERROR(up_RadSpec!$F$7*T7,".")*$B$73</f>
        <v>0.54440494769088521</v>
      </c>
      <c r="U73" s="38">
        <f>IFERROR(up_RadSpec!$M$7*U7,".")*$B$73</f>
        <v>0.34220432918540189</v>
      </c>
      <c r="V73" s="38">
        <f>IFERROR(up_RadSpec!$N$7*V7,".")*$B$73</f>
        <v>0.46709129511677278</v>
      </c>
      <c r="W73" s="38">
        <f>IFERROR(up_RadSpec!$O$7*W7,".")*$B$73</f>
        <v>0.50776185241558169</v>
      </c>
      <c r="X73" s="38">
        <f>IFERROR(up_RadSpec!$K$7*X7,".")*$B$73</f>
        <v>0.19996611449966123</v>
      </c>
      <c r="Y73" s="47">
        <f t="shared" si="100"/>
        <v>0.41981307779039945</v>
      </c>
      <c r="Z73" s="47">
        <f t="shared" si="100"/>
        <v>0.28979692533318602</v>
      </c>
      <c r="AA73" s="47">
        <f t="shared" si="100"/>
        <v>0.3731771380662996</v>
      </c>
      <c r="AB73" s="47">
        <f t="shared" si="100"/>
        <v>0.39815891830321559</v>
      </c>
      <c r="AC73" s="47">
        <f t="shared" si="100"/>
        <v>0.18124150335075762</v>
      </c>
      <c r="AD73" s="30">
        <f t="shared" ref="AD73:AF73" si="121">IFERROR(AD7/$B59,0)</f>
        <v>2.9090909090909094E-10</v>
      </c>
      <c r="AE73" s="30">
        <f t="shared" si="121"/>
        <v>6.3709090909090908E-6</v>
      </c>
      <c r="AF73" s="30">
        <f t="shared" si="121"/>
        <v>2.9089580799548386E-10</v>
      </c>
      <c r="AG73" s="38">
        <f>IFERROR(up_RadSpec!$G$7*AG7,".")*$B$73</f>
        <v>171875</v>
      </c>
      <c r="AH73" s="38">
        <f>IFERROR(up_RadSpec!$J$7*AH7,".")*$B$73</f>
        <v>7.8481735159817356</v>
      </c>
      <c r="AI73" s="47">
        <f t="shared" si="102"/>
        <v>1</v>
      </c>
      <c r="AJ73" s="47">
        <f t="shared" si="102"/>
        <v>0.99960953550549536</v>
      </c>
      <c r="AK73" s="47">
        <f t="shared" si="103"/>
        <v>1</v>
      </c>
    </row>
    <row r="74" spans="1:37" x14ac:dyDescent="0.25">
      <c r="A74" s="29" t="s">
        <v>316</v>
      </c>
      <c r="B74" s="36">
        <v>1.9000000000000001E-8</v>
      </c>
      <c r="C74" s="2"/>
      <c r="D74" s="30">
        <f>IFERROR(D12/$B60,0)</f>
        <v>3.8277511961722492</v>
      </c>
      <c r="E74" s="30">
        <f>IFERROR(E12/$B60,0)</f>
        <v>4750.0168889230099</v>
      </c>
      <c r="F74" s="30">
        <f>IFERROR(F12/$B60,0)</f>
        <v>3751.6872799494449</v>
      </c>
      <c r="G74" s="30">
        <f t="shared" si="96"/>
        <v>3.8207740269233001</v>
      </c>
      <c r="H74" s="38">
        <f>IFERROR(up_RadSpec!$I$12*H12,".")*$B$74</f>
        <v>1.3062500000000001E-5</v>
      </c>
      <c r="I74" s="38">
        <f>IFERROR(up_RadSpec!$G$12*I12,".")*$B$74</f>
        <v>1.0526278362630558E-8</v>
      </c>
      <c r="J74" s="38">
        <f>IFERROR(up_RadSpec!$F$12*J12,".")*$B$74</f>
        <v>1.3327336813817216E-8</v>
      </c>
      <c r="K74" s="47">
        <f t="shared" si="97"/>
        <v>1.3062500000000001E-5</v>
      </c>
      <c r="L74" s="47">
        <f t="shared" si="97"/>
        <v>1.0526278362630558E-8</v>
      </c>
      <c r="M74" s="47">
        <f t="shared" si="97"/>
        <v>1.3327336813817216E-8</v>
      </c>
      <c r="N74" s="47">
        <f t="shared" si="98"/>
        <v>1.3086353615176449E-5</v>
      </c>
      <c r="O74" s="30">
        <f t="shared" ref="O74:S74" si="122">IFERROR(O12/$B60,0)</f>
        <v>3751.6872799494449</v>
      </c>
      <c r="P74" s="30">
        <f t="shared" si="122"/>
        <v>6730.7676010623618</v>
      </c>
      <c r="Q74" s="30">
        <f t="shared" si="122"/>
        <v>4880.3963634823604</v>
      </c>
      <c r="R74" s="30">
        <f t="shared" si="122"/>
        <v>4310.0706650788998</v>
      </c>
      <c r="S74" s="30">
        <f t="shared" si="122"/>
        <v>11618.982521238162</v>
      </c>
      <c r="T74" s="38">
        <f>IFERROR(up_RadSpec!$F$12*T12,".")*$B$74</f>
        <v>1.3327336813817216E-8</v>
      </c>
      <c r="U74" s="38">
        <f>IFERROR(up_RadSpec!$M$12*U12,".")*$B$74</f>
        <v>7.4285732272360999E-9</v>
      </c>
      <c r="V74" s="38">
        <f>IFERROR(up_RadSpec!$N$12*V12,".")*$B$74</f>
        <v>1.024506951405131E-8</v>
      </c>
      <c r="W74" s="38">
        <f>IFERROR(up_RadSpec!$O$12*W12,".")*$B$74</f>
        <v>1.1600737873072601E-8</v>
      </c>
      <c r="X74" s="38">
        <f>IFERROR(up_RadSpec!$K$12*X12,".")*$B$74</f>
        <v>4.3033027985545013E-9</v>
      </c>
      <c r="Y74" s="47">
        <f t="shared" si="100"/>
        <v>1.3327336813817216E-8</v>
      </c>
      <c r="Z74" s="47">
        <f t="shared" si="100"/>
        <v>7.4285732272360999E-9</v>
      </c>
      <c r="AA74" s="47">
        <f t="shared" si="100"/>
        <v>1.024506951405131E-8</v>
      </c>
      <c r="AB74" s="47">
        <f t="shared" si="100"/>
        <v>1.1600737873072601E-8</v>
      </c>
      <c r="AC74" s="47">
        <f t="shared" si="100"/>
        <v>4.3033027985545013E-9</v>
      </c>
      <c r="AD74" s="30">
        <f t="shared" ref="AD74:AF74" si="123">IFERROR(AD12/$B60,0)</f>
        <v>1.5311004784688996E-2</v>
      </c>
      <c r="AE74" s="30">
        <f t="shared" si="123"/>
        <v>335.31100478468898</v>
      </c>
      <c r="AF74" s="30">
        <f t="shared" si="123"/>
        <v>1.5310305683972833E-2</v>
      </c>
      <c r="AG74" s="38">
        <f>IFERROR(up_RadSpec!$G$12*AG12,".")*$B$74</f>
        <v>3.2656250000000003E-3</v>
      </c>
      <c r="AH74" s="38">
        <f>IFERROR(up_RadSpec!$J$12*AH12,".")*$B$74</f>
        <v>1.4911529680365299E-7</v>
      </c>
      <c r="AI74" s="47">
        <f t="shared" si="102"/>
        <v>3.2656250000000003E-3</v>
      </c>
      <c r="AJ74" s="47">
        <f t="shared" si="102"/>
        <v>1.4911529680365299E-7</v>
      </c>
      <c r="AK74" s="47">
        <f t="shared" si="103"/>
        <v>3.2657741152968042E-3</v>
      </c>
    </row>
    <row r="75" spans="1:37" x14ac:dyDescent="0.25">
      <c r="A75" s="29" t="s">
        <v>317</v>
      </c>
      <c r="B75" s="34">
        <v>1</v>
      </c>
      <c r="C75" s="2"/>
      <c r="D75" s="30">
        <f>IFERROR(D18/$B61,0)</f>
        <v>7.272727272727274E-8</v>
      </c>
      <c r="E75" s="30">
        <f>IFERROR(E18/$B61,0)</f>
        <v>9.0250320889537203E-5</v>
      </c>
      <c r="F75" s="30">
        <f>IFERROR(F18/$B61,0)</f>
        <v>3.5819104981705617E-5</v>
      </c>
      <c r="G75" s="30">
        <f t="shared" si="96"/>
        <v>7.2521583819291654E-8</v>
      </c>
      <c r="H75" s="38">
        <f>IFERROR(up_RadSpec!$I$18*H18,".")*$B$75</f>
        <v>687.5</v>
      </c>
      <c r="I75" s="38">
        <f>IFERROR(up_RadSpec!$G$18*I18,".")*$B$75</f>
        <v>0.55401465066476618</v>
      </c>
      <c r="J75" s="38">
        <f>IFERROR(up_RadSpec!$F$18*J18,".")*$B$75</f>
        <v>1.3959031088447689</v>
      </c>
      <c r="K75" s="47">
        <f t="shared" si="97"/>
        <v>1</v>
      </c>
      <c r="L75" s="47">
        <f t="shared" si="97"/>
        <v>0.42536179830386023</v>
      </c>
      <c r="M75" s="47">
        <f t="shared" si="97"/>
        <v>0.75239068280335397</v>
      </c>
      <c r="N75" s="47">
        <f t="shared" si="98"/>
        <v>1</v>
      </c>
      <c r="O75" s="30">
        <f t="shared" ref="O75:S75" si="124">IFERROR(O18/$B61,0)</f>
        <v>3.5819104981705617E-5</v>
      </c>
      <c r="P75" s="30">
        <f t="shared" si="124"/>
        <v>7.0875611640484193E-5</v>
      </c>
      <c r="Q75" s="30">
        <f t="shared" si="124"/>
        <v>4.9633877043552499E-5</v>
      </c>
      <c r="R75" s="30">
        <f t="shared" si="124"/>
        <v>4.1122563526890526E-5</v>
      </c>
      <c r="S75" s="30">
        <f t="shared" si="124"/>
        <v>1.2047552447552447E-4</v>
      </c>
      <c r="T75" s="38">
        <f>IFERROR(up_RadSpec!$F$18*T18,".")*$B$75</f>
        <v>1.3959031088447689</v>
      </c>
      <c r="U75" s="38">
        <f>IFERROR(up_RadSpec!$M$18*U18,".")*$B$75</f>
        <v>0.70546128411031572</v>
      </c>
      <c r="V75" s="38">
        <f>IFERROR(up_RadSpec!$N$18*V18,".")*$B$75</f>
        <v>1.0073764730513848</v>
      </c>
      <c r="W75" s="38">
        <f>IFERROR(up_RadSpec!$O$18*W18,".")*$B$75</f>
        <v>1.2158775064522531</v>
      </c>
      <c r="X75" s="38">
        <f>IFERROR(up_RadSpec!$K$18*X18,".")*$B$75</f>
        <v>0.4150220571163224</v>
      </c>
      <c r="Y75" s="47">
        <f t="shared" si="100"/>
        <v>0.75239068280335397</v>
      </c>
      <c r="Z75" s="47">
        <f t="shared" si="100"/>
        <v>0.50611929761705565</v>
      </c>
      <c r="AA75" s="47">
        <f t="shared" si="100"/>
        <v>0.63482422758325874</v>
      </c>
      <c r="AB75" s="47">
        <f t="shared" si="100"/>
        <v>0.70355023645539005</v>
      </c>
      <c r="AC75" s="47">
        <f t="shared" si="100"/>
        <v>0.33967428433676894</v>
      </c>
      <c r="AD75" s="30">
        <f t="shared" ref="AD75:AF75" si="125">IFERROR(AD18/$B61,0)</f>
        <v>2.9090909090909094E-10</v>
      </c>
      <c r="AE75" s="30">
        <f t="shared" si="125"/>
        <v>6.3709090909090908E-6</v>
      </c>
      <c r="AF75" s="30">
        <f t="shared" si="125"/>
        <v>2.9089580799548386E-10</v>
      </c>
      <c r="AG75" s="38">
        <f>IFERROR(up_RadSpec!$G$18*AG18,".")*$B$75</f>
        <v>171875</v>
      </c>
      <c r="AH75" s="38">
        <f>IFERROR(up_RadSpec!$J$18*AH18,".")*$B$75</f>
        <v>7.8481735159817356</v>
      </c>
      <c r="AI75" s="47">
        <f t="shared" si="102"/>
        <v>1</v>
      </c>
      <c r="AJ75" s="47">
        <f t="shared" si="102"/>
        <v>0.99960953550549536</v>
      </c>
      <c r="AK75" s="47">
        <f t="shared" si="103"/>
        <v>1</v>
      </c>
    </row>
    <row r="76" spans="1:37" x14ac:dyDescent="0.25">
      <c r="A76" s="29" t="s">
        <v>318</v>
      </c>
      <c r="B76" s="34">
        <v>1.339E-6</v>
      </c>
      <c r="C76" s="2"/>
      <c r="D76" s="30">
        <f>IFERROR(D27/$B62,0)</f>
        <v>5.4314617421413545E-2</v>
      </c>
      <c r="E76" s="30">
        <f>IFERROR(E27/$B62,0)</f>
        <v>67.401285205031513</v>
      </c>
      <c r="F76" s="30">
        <f>IFERROR(F27/$B62,0)</f>
        <v>43.901003530817384</v>
      </c>
      <c r="G76" s="30">
        <f t="shared" si="96"/>
        <v>5.4203876396038526E-2</v>
      </c>
      <c r="H76" s="38">
        <f>IFERROR(up_RadSpec!$I$27*H27,".")*$B$76</f>
        <v>9.2056250000000005E-4</v>
      </c>
      <c r="I76" s="38">
        <f>IFERROR(up_RadSpec!$G$27*I27,".")*$B$76</f>
        <v>7.4182561724012188E-7</v>
      </c>
      <c r="J76" s="38">
        <f>IFERROR(up_RadSpec!$F$27*J27,".")*$B$76</f>
        <v>1.13892612875925E-6</v>
      </c>
      <c r="K76" s="47">
        <f t="shared" si="97"/>
        <v>9.2056250000000005E-4</v>
      </c>
      <c r="L76" s="47">
        <f t="shared" si="97"/>
        <v>7.4182561724012188E-7</v>
      </c>
      <c r="M76" s="47">
        <f t="shared" si="97"/>
        <v>1.13892612875925E-6</v>
      </c>
      <c r="N76" s="47">
        <f t="shared" si="98"/>
        <v>9.2244325174599938E-4</v>
      </c>
      <c r="O76" s="30">
        <f t="shared" ref="O76:S76" si="126">IFERROR(O27/$B62,0)</f>
        <v>43.901003530817384</v>
      </c>
      <c r="P76" s="30">
        <f t="shared" si="126"/>
        <v>130.21786593580163</v>
      </c>
      <c r="Q76" s="30">
        <f t="shared" si="126"/>
        <v>79.833343734491137</v>
      </c>
      <c r="R76" s="30">
        <f t="shared" si="126"/>
        <v>58.075673411227257</v>
      </c>
      <c r="S76" s="30">
        <f t="shared" si="126"/>
        <v>407.31919794291832</v>
      </c>
      <c r="T76" s="38">
        <f>IFERROR(up_RadSpec!$F$27*T27,".")*$B$76</f>
        <v>1.13892612875925E-6</v>
      </c>
      <c r="U76" s="38">
        <f>IFERROR(up_RadSpec!$M$27*U27,".")*$B$76</f>
        <v>3.8397188926940628E-7</v>
      </c>
      <c r="V76" s="38">
        <f>IFERROR(up_RadSpec!$N$27*V27,".")*$B$76</f>
        <v>6.2630472007147106E-7</v>
      </c>
      <c r="W76" s="38">
        <f>IFERROR(up_RadSpec!$O$27*W27,".")*$B$76</f>
        <v>8.6094567764984291E-7</v>
      </c>
      <c r="X76" s="38">
        <f>IFERROR(up_RadSpec!$K$27*X27,".")*$B$76</f>
        <v>1.2275385067169607E-7</v>
      </c>
      <c r="Y76" s="47">
        <f t="shared" si="100"/>
        <v>1.13892612875925E-6</v>
      </c>
      <c r="Z76" s="47">
        <f t="shared" si="100"/>
        <v>3.8397188926940628E-7</v>
      </c>
      <c r="AA76" s="47">
        <f t="shared" si="100"/>
        <v>6.2630472007147106E-7</v>
      </c>
      <c r="AB76" s="47">
        <f t="shared" si="100"/>
        <v>8.6094567764984291E-7</v>
      </c>
      <c r="AC76" s="47">
        <f t="shared" si="100"/>
        <v>1.2275385067169607E-7</v>
      </c>
      <c r="AD76" s="30">
        <f t="shared" ref="AD76:AF76" si="127">IFERROR(AD27/$B62,0)</f>
        <v>2.1725846968565418E-4</v>
      </c>
      <c r="AE76" s="30">
        <f t="shared" si="127"/>
        <v>4.7579604861158256</v>
      </c>
      <c r="AF76" s="30">
        <f t="shared" si="127"/>
        <v>2.1724854966055553E-4</v>
      </c>
      <c r="AG76" s="38">
        <f>IFERROR(up_RadSpec!$G$27*AG27,".")*$B$76</f>
        <v>0.23014062500000002</v>
      </c>
      <c r="AH76" s="38">
        <f>IFERROR(up_RadSpec!$J$27*AH27,".")*$B$76</f>
        <v>1.0508704337899545E-5</v>
      </c>
      <c r="AI76" s="47">
        <f t="shared" si="102"/>
        <v>0.20557812092878014</v>
      </c>
      <c r="AJ76" s="47">
        <f t="shared" si="102"/>
        <v>1.0508704337899545E-5</v>
      </c>
      <c r="AK76" s="47">
        <f t="shared" si="103"/>
        <v>0.20558646922956181</v>
      </c>
    </row>
  </sheetData>
  <sheetProtection algorithmName="SHA-512" hashValue="Zzu+g8nsmVeGlg66Oi9vdR96jTvijgwmVnYMDQrINcLRCH9MbyXyvnBiJdFVQcTxukeYSWbJ4qPAySHqRS3PlQ==" saltValue="EKxjqn0c1jmK1yvvD6wtLQ==" spinCount="100000" sheet="1" objects="1" scenarios="1" formatColumns="0" formatRows="0"/>
  <autoFilter ref="A1:AK76" xr:uid="{00000000-0009-0000-0000-00000A000000}"/>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8">
    <tabColor theme="9" tint="-0.499984740745262"/>
  </sheetPr>
  <dimension ref="A1:AK76"/>
  <sheetViews>
    <sheetView zoomScale="90" zoomScaleNormal="90" workbookViewId="0">
      <pane xSplit="2" ySplit="1" topLeftCell="C2" activePane="bottomRight" state="frozen"/>
      <selection pane="topRight" activeCell="C1" sqref="C1"/>
      <selection pane="bottomLeft" activeCell="A2" sqref="A2"/>
      <selection pane="bottomRight" activeCell="C2" sqref="C2"/>
    </sheetView>
  </sheetViews>
  <sheetFormatPr defaultColWidth="9.140625" defaultRowHeight="15" x14ac:dyDescent="0.25"/>
  <cols>
    <col min="1" max="1" width="15.42578125" style="3" customWidth="1"/>
    <col min="2" max="2" width="13.28515625" style="3" bestFit="1" customWidth="1"/>
    <col min="3" max="3" width="13.28515625" style="3" customWidth="1"/>
    <col min="4" max="4" width="14.42578125" style="2" bestFit="1" customWidth="1"/>
    <col min="5" max="5" width="14.5703125" style="2" bestFit="1" customWidth="1"/>
    <col min="6" max="6" width="14.28515625" style="2" bestFit="1" customWidth="1"/>
    <col min="7" max="9" width="14.140625" style="2" bestFit="1" customWidth="1"/>
    <col min="10" max="10" width="14" style="2" bestFit="1" customWidth="1"/>
    <col min="11" max="12" width="14.5703125" style="2" bestFit="1" customWidth="1"/>
    <col min="13" max="13" width="14.42578125" style="2" bestFit="1" customWidth="1"/>
    <col min="14" max="14" width="14.28515625" style="2" bestFit="1" customWidth="1"/>
    <col min="15" max="15" width="13.5703125" style="2" bestFit="1" customWidth="1"/>
    <col min="16" max="17" width="15.42578125" style="2" bestFit="1" customWidth="1"/>
    <col min="18" max="18" width="16.42578125" style="2" bestFit="1" customWidth="1"/>
    <col min="19" max="19" width="13.85546875" style="2" bestFit="1" customWidth="1"/>
    <col min="20" max="20" width="13.140625" style="2" bestFit="1" customWidth="1"/>
    <col min="21" max="22" width="14.85546875" style="2" bestFit="1" customWidth="1"/>
    <col min="23" max="23" width="16" style="2" bestFit="1" customWidth="1"/>
    <col min="24" max="25" width="13.5703125" style="2" bestFit="1" customWidth="1"/>
    <col min="26" max="27" width="15.42578125" style="2" bestFit="1" customWidth="1"/>
    <col min="28" max="28" width="16.42578125" style="2" bestFit="1" customWidth="1"/>
    <col min="29" max="29" width="14.140625" style="2" bestFit="1" customWidth="1"/>
    <col min="30" max="30" width="13.85546875" style="2" bestFit="1" customWidth="1"/>
    <col min="31" max="31" width="14.140625" style="2" bestFit="1" customWidth="1"/>
    <col min="32" max="32" width="13.28515625" style="2" bestFit="1" customWidth="1"/>
    <col min="33" max="33" width="13.42578125" style="2" bestFit="1" customWidth="1"/>
    <col min="34" max="34" width="13.85546875" style="2" bestFit="1" customWidth="1"/>
    <col min="35" max="35" width="14" style="2" bestFit="1" customWidth="1"/>
    <col min="36" max="36" width="14.28515625" style="2" bestFit="1" customWidth="1"/>
    <col min="37" max="37" width="13.7109375" style="2" bestFit="1" customWidth="1"/>
    <col min="38" max="16384" width="9.140625" style="2"/>
  </cols>
  <sheetData>
    <row r="1" spans="1:37" x14ac:dyDescent="0.25">
      <c r="A1" s="21" t="s">
        <v>51</v>
      </c>
      <c r="B1" s="21" t="s">
        <v>274</v>
      </c>
      <c r="C1" s="108"/>
      <c r="D1" s="22" t="s">
        <v>341</v>
      </c>
      <c r="E1" s="22" t="s">
        <v>342</v>
      </c>
      <c r="F1" s="22" t="s">
        <v>343</v>
      </c>
      <c r="G1" s="22" t="s">
        <v>344</v>
      </c>
      <c r="H1" s="39" t="s">
        <v>353</v>
      </c>
      <c r="I1" s="39" t="s">
        <v>354</v>
      </c>
      <c r="J1" s="39" t="s">
        <v>355</v>
      </c>
      <c r="K1" s="40" t="s">
        <v>356</v>
      </c>
      <c r="L1" s="40" t="s">
        <v>357</v>
      </c>
      <c r="M1" s="40" t="s">
        <v>358</v>
      </c>
      <c r="N1" s="40" t="s">
        <v>359</v>
      </c>
      <c r="O1" s="22" t="s">
        <v>345</v>
      </c>
      <c r="P1" s="24" t="s">
        <v>346</v>
      </c>
      <c r="Q1" s="24" t="s">
        <v>347</v>
      </c>
      <c r="R1" s="24" t="s">
        <v>348</v>
      </c>
      <c r="S1" s="24" t="s">
        <v>349</v>
      </c>
      <c r="T1" s="41" t="s">
        <v>371</v>
      </c>
      <c r="U1" s="41" t="s">
        <v>372</v>
      </c>
      <c r="V1" s="41" t="s">
        <v>373</v>
      </c>
      <c r="W1" s="41" t="s">
        <v>374</v>
      </c>
      <c r="X1" s="41" t="s">
        <v>375</v>
      </c>
      <c r="Y1" s="42" t="s">
        <v>376</v>
      </c>
      <c r="Z1" s="42" t="s">
        <v>377</v>
      </c>
      <c r="AA1" s="42" t="s">
        <v>378</v>
      </c>
      <c r="AB1" s="42" t="s">
        <v>379</v>
      </c>
      <c r="AC1" s="42" t="s">
        <v>380</v>
      </c>
      <c r="AD1" s="24" t="s">
        <v>350</v>
      </c>
      <c r="AE1" s="24" t="s">
        <v>351</v>
      </c>
      <c r="AF1" s="24" t="s">
        <v>352</v>
      </c>
      <c r="AG1" s="41" t="s">
        <v>381</v>
      </c>
      <c r="AH1" s="41" t="s">
        <v>382</v>
      </c>
      <c r="AI1" s="42" t="s">
        <v>383</v>
      </c>
      <c r="AJ1" s="42" t="s">
        <v>384</v>
      </c>
      <c r="AK1" s="42" t="s">
        <v>385</v>
      </c>
    </row>
    <row r="2" spans="1:37" x14ac:dyDescent="0.25">
      <c r="A2" s="23" t="s">
        <v>12</v>
      </c>
      <c r="B2" s="24" t="s">
        <v>289</v>
      </c>
      <c r="C2" s="2"/>
      <c r="D2" s="22">
        <f>IFERROR((s_TR/(up_RadSpec!I2*s_EF_w*s_ED_com*s_IRS_w*(1/1000)))*1,".")</f>
        <v>7.272727272727274E-8</v>
      </c>
      <c r="E2" s="22">
        <f>IFERROR(IF(A2="H-3",(s_TR/(up_RadSpec!G2*s_EF_w*s_ED_com*(s_ET_w_o+s_ET_w_i)*(1/24)*s_IRA_w*(1/17)*1000))*1,(s_TR/(up_RadSpec!G2*s_EF_w*s_ED_com*(s_ET_w_o+s_ET_w_i)*(1/24)*s_IRA_w*(1/s_PEF_wind)*1000))*1),".")</f>
        <v>9.0250320889537203E-5</v>
      </c>
      <c r="F2" s="22">
        <f>IFERROR((s_TR/(up_RadSpec!F2*s_EF_w*(1/365)*s_ED_com*up_RadSpec!Q2*(s_ET_w_o+s_ET_w_i)*(1/24)*up_RadSpec!V2))*1,".")</f>
        <v>1.6909254955570753E-4</v>
      </c>
      <c r="G2" s="22">
        <f t="shared" ref="G2:G30" si="0">(IF(AND(ISNUMBER(D2),ISNUMBER(E2),ISNUMBER(F2)),1/((1/D2)+(1/E2)+(1/F2)),IF(AND(ISNUMBER(D2),ISNUMBER(E2),NOT(ISNUMBER(F2))), 1/((1/D2)+(1/E2)),IF(AND(ISNUMBER(D2),NOT(ISNUMBER(E2)),ISNUMBER(F2)),1/((1/D2)+(1/F2)),IF(AND(NOT(ISNUMBER(D2)),ISNUMBER(E2),ISNUMBER(F2)),1/((1/E2)+(1/F2)),IF(AND(ISNUMBER(D2),NOT(ISNUMBER(E2)),NOT(ISNUMBER(F2))),1/((1/D2)),IF(AND(NOT(ISNUMBER(D2)),NOT(ISNUMBER(E2)),ISNUMBER(F2)),1/((1/F2)),IF(AND(NOT(ISNUMBER(D2)),ISNUMBER(E2),NOT(ISNUMBER(F2))),1/((1/E2)),IF(AND(NOT(ISNUMBER(D2)),NOT(ISNUMBER(E2)),NOT(ISNUMBER(F2))),".")))))))))</f>
        <v>7.2637496932584985E-8</v>
      </c>
      <c r="H2" s="43">
        <f t="shared" ref="H2:H30" si="1">s_C*s_EF_w*s_ED_com*s_IRS_w*(1/1000)*1</f>
        <v>137.5</v>
      </c>
      <c r="I2" s="43">
        <f t="shared" ref="I2:I30" si="2">s_C*s_EF_w*s_ED_com*(s_ET_w_o+s_ET_w_i)*(1/24)*s_IRA_w*(1/s_PEF_wind)*1000*1</f>
        <v>0.11080293013295324</v>
      </c>
      <c r="J2" s="43">
        <f>s_C*s_EF_w*(1/365)*s_ED_com*(s_ET_w_o+s_ET_w_i)*(1/24)*up_RadSpec!V2*up_RadSpec!Q2*1</f>
        <v>5.9139211196916189E-2</v>
      </c>
      <c r="K2" s="11"/>
      <c r="L2" s="11"/>
      <c r="M2" s="11"/>
      <c r="N2" s="11"/>
      <c r="O2" s="22">
        <f>IFERROR((s_TR/(up_RadSpec!F2*s_EF_w*(1/365)*s_ED_com*up_RadSpec!Q2*(s_ET_w_o+s_ET_w_i)*(1/24)*up_RadSpec!V2))*1,".")</f>
        <v>1.6909254955570753E-4</v>
      </c>
      <c r="P2" s="22">
        <f>IFERROR((s_TR/(up_RadSpec!M2*s_EF_w*(1/365)*s_ED_com*up_RadSpec!R2*(s_ET_w_o+s_ET_w_i)*(1/24)*up_RadSpec!W2))*1,".")</f>
        <v>3.4189433603046168E-4</v>
      </c>
      <c r="Q2" s="22">
        <f>IFERROR((s_TR/(up_RadSpec!N2*s_EF_w*(1/365)*s_ED_com*up_RadSpec!S2*(s_ET_w_o+s_ET_w_i)*(1/24)*up_RadSpec!X2))*1,".")</f>
        <v>2.3221070518266771E-4</v>
      </c>
      <c r="R2" s="22">
        <f>IFERROR((s_TR/(up_RadSpec!O2*s_EF_w*(1/365)*s_ED_com*up_RadSpec!T2*(s_ET_w_o+s_ET_w_i)*(1/24)*up_RadSpec!Y2))*1,".")</f>
        <v>1.9301841948900773E-4</v>
      </c>
      <c r="S2" s="22">
        <f>IFERROR((s_TR/(up_RadSpec!K2*s_EF_w*(1/365)*s_ED_com*up_RadSpec!P2*(s_ET_w_o+s_ET_w_i)*(1/24)*up_RadSpec!U2))*1,".")</f>
        <v>2.7055190009399764E-3</v>
      </c>
      <c r="T2" s="43">
        <f>s_C*s_EF_w*(1/365)*s_ED_com*(s_ET_w_o+s_ET_w_i)*(1/24)*up_RadSpec!V2*up_RadSpec!Q2*1</f>
        <v>5.9139211196916189E-2</v>
      </c>
      <c r="U2" s="43">
        <f>s_C*s_EF_w*(1/365)*s_ED_com*(s_ET_w_o+s_ET_w_i)*(1/24)*up_RadSpec!W2*up_RadSpec!R2*1</f>
        <v>2.9248802762000235E-2</v>
      </c>
      <c r="V2" s="43">
        <f>s_C*s_EF_w*(1/365)*s_ED_com*(s_ET_w_o+s_ET_w_i)*(1/24)*up_RadSpec!X2*up_RadSpec!S2*1</f>
        <v>4.3064336728720308E-2</v>
      </c>
      <c r="W2" s="43">
        <f>s_C*s_EF_w*(1/365)*s_ED_com*(s_ET_w_o+s_ET_w_i)*(1/24)*up_RadSpec!Y2*up_RadSpec!T2*1</f>
        <v>5.1808527012467305E-2</v>
      </c>
      <c r="X2" s="43">
        <f>s_C*s_EF_w*(1/365)*s_ED_com*(s_ET_w_o+s_ET_w_i)*(1/24)*up_RadSpec!U2*up_RadSpec!P2*1</f>
        <v>3.6961485010919195E-3</v>
      </c>
      <c r="Y2" s="11"/>
      <c r="Z2" s="11"/>
      <c r="AA2" s="11"/>
      <c r="AB2" s="11"/>
      <c r="AC2" s="11"/>
      <c r="AD2" s="22">
        <f>IFERROR(s_TR/(up_RadSpec!G2*s_EF_w*s_ED_com*(s_ET_w_o+s_ET_w_i)*(1/24)*s_IRA_w),".")</f>
        <v>2.9090909090909094E-10</v>
      </c>
      <c r="AE2" s="22">
        <f>IFERROR(s_TR/(up_RadSpec!J2*s_EF_w*(1/365)*s_ED_com*(s_ET_w_o+s_ET_w_i)*(1/24)*s_GSF_a),".")</f>
        <v>6.3709090909090908E-6</v>
      </c>
      <c r="AF2" s="22">
        <f t="shared" ref="AF2" si="3">IFERROR(IF(AND(ISNUMBER(AD2),ISNUMBER(AE2)),1/((1/AD2)+(1/AE2)),IF(AND(ISNUMBER(AD2),NOT(ISNUMBER(AE2))),1/((1/AD2)),IF(AND(NOT(ISNUMBER(AD2)),ISNUMBER(AE2)),1/((1/AE2)),IF(AND(NOT(ISNUMBER(AD2)),NOT(ISNUMBER(AE2))),".")))),".")</f>
        <v>2.9089580799548386E-10</v>
      </c>
      <c r="AG2" s="43">
        <f t="shared" ref="AG2:AG30" si="4">s_C*s_EF_w*s_ED_com*(s_ET_w_o+s_ET_w_i)*(1/24)*s_IRA_w*1</f>
        <v>34375</v>
      </c>
      <c r="AH2" s="43">
        <f t="shared" ref="AH2:AH30" si="5">s_C*s_EF_w*(1/365)*s_ED_com*(s_ET_w_o+s_ET_w_i)*(1/24)*s_GSF_a*1</f>
        <v>1.5696347031963471</v>
      </c>
      <c r="AI2" s="11"/>
      <c r="AJ2" s="11"/>
      <c r="AK2" s="11"/>
    </row>
    <row r="3" spans="1:37" x14ac:dyDescent="0.25">
      <c r="A3" s="25" t="s">
        <v>13</v>
      </c>
      <c r="B3" s="24" t="s">
        <v>275</v>
      </c>
      <c r="C3" s="2"/>
      <c r="D3" s="22">
        <f>IFERROR((s_TR/(up_RadSpec!I3*s_EF_w*s_ED_com*s_IRS_w*(1/1000)))*1,".")</f>
        <v>7.272727272727274E-8</v>
      </c>
      <c r="E3" s="22">
        <f>IFERROR(IF(A3="H-3",(s_TR/(up_RadSpec!G3*s_EF_w*s_ED_com*(s_ET_w_o+s_ET_w_i)*(1/24)*s_IRA_w*(1/17)*1000))*1,(s_TR/(up_RadSpec!G3*s_EF_w*s_ED_com*(s_ET_w_o+s_ET_w_i)*(1/24)*s_IRA_w*(1/s_PEF_wind)*1000))*1),".")</f>
        <v>9.0250320889537203E-5</v>
      </c>
      <c r="F3" s="22">
        <f>IFERROR((s_TR/(up_RadSpec!F3*s_EF_w*(1/365)*s_ED_com*up_RadSpec!Q3*(s_ET_w_o+s_ET_w_i)*(1/24)*up_RadSpec!V3))*1,".")</f>
        <v>2.2184415584415595E-2</v>
      </c>
      <c r="G3" s="22">
        <f t="shared" si="0"/>
        <v>7.2668475370604101E-8</v>
      </c>
      <c r="H3" s="43">
        <f t="shared" si="1"/>
        <v>137.5</v>
      </c>
      <c r="I3" s="43">
        <f t="shared" si="2"/>
        <v>0.11080293013295324</v>
      </c>
      <c r="J3" s="43">
        <f>s_C*s_EF_w*(1/365)*s_ED_com*(s_ET_w_o+s_ET_w_i)*(1/24)*up_RadSpec!V3*up_RadSpec!Q3*1</f>
        <v>4.5076688912305335E-4</v>
      </c>
      <c r="K3" s="4"/>
      <c r="L3" s="4"/>
      <c r="M3" s="4"/>
      <c r="N3" s="4"/>
      <c r="O3" s="22">
        <f>IFERROR((s_TR/(up_RadSpec!F3*s_EF_w*(1/365)*s_ED_com*up_RadSpec!Q3*(s_ET_w_o+s_ET_w_i)*(1/24)*up_RadSpec!V3))*1,".")</f>
        <v>2.2184415584415595E-2</v>
      </c>
      <c r="P3" s="22">
        <f>IFERROR((s_TR/(up_RadSpec!M3*s_EF_w*(1/365)*s_ED_com*up_RadSpec!R3*(s_ET_w_o+s_ET_w_i)*(1/24)*up_RadSpec!W3))*1,".")</f>
        <v>3.1106175132324276E-2</v>
      </c>
      <c r="Q3" s="22">
        <f>IFERROR((s_TR/(up_RadSpec!N3*s_EF_w*(1/365)*s_ED_com*up_RadSpec!S3*(s_ET_w_o+s_ET_w_i)*(1/24)*up_RadSpec!X3))*1,".")</f>
        <v>2.3582923154193879E-2</v>
      </c>
      <c r="R3" s="22">
        <f>IFERROR((s_TR/(up_RadSpec!O3*s_EF_w*(1/365)*s_ED_com*up_RadSpec!T3*(s_ET_w_o+s_ET_w_i)*(1/24)*up_RadSpec!Y3))*1,".")</f>
        <v>2.4309683536802174E-2</v>
      </c>
      <c r="S3" s="22">
        <f>IFERROR((s_TR/(up_RadSpec!K3*s_EF_w*(1/365)*s_ED_com*up_RadSpec!P3*(s_ET_w_o+s_ET_w_i)*(1/24)*up_RadSpec!U3))*1,".")</f>
        <v>4.8228185429946425E-2</v>
      </c>
      <c r="T3" s="43">
        <f>s_C*s_EF_w*(1/365)*s_ED_com*(s_ET_w_o+s_ET_w_i)*(1/24)*up_RadSpec!V3*up_RadSpec!Q3*1</f>
        <v>4.5076688912305335E-4</v>
      </c>
      <c r="U3" s="43">
        <f>s_C*s_EF_w*(1/365)*s_ED_com*(s_ET_w_o+s_ET_w_i)*(1/24)*up_RadSpec!W3*up_RadSpec!R3*1</f>
        <v>3.2147957624042333E-4</v>
      </c>
      <c r="V3" s="43">
        <f>s_C*s_EF_w*(1/365)*s_ED_com*(s_ET_w_o+s_ET_w_i)*(1/24)*up_RadSpec!X3*up_RadSpec!S3*1</f>
        <v>4.2403564369931164E-4</v>
      </c>
      <c r="W3" s="43">
        <f>s_C*s_EF_w*(1/365)*s_ED_com*(s_ET_w_o+s_ET_w_i)*(1/24)*up_RadSpec!Y3*up_RadSpec!T3*1</f>
        <v>4.1135870752332526E-4</v>
      </c>
      <c r="X3" s="43">
        <f>s_C*s_EF_w*(1/365)*s_ED_com*(s_ET_w_o+s_ET_w_i)*(1/24)*up_RadSpec!U3*up_RadSpec!P3*1</f>
        <v>2.073476310761358E-4</v>
      </c>
      <c r="Y3" s="11"/>
      <c r="Z3" s="11"/>
      <c r="AA3" s="11"/>
      <c r="AB3" s="11"/>
      <c r="AC3" s="11"/>
      <c r="AD3" s="22">
        <f>IFERROR(s_TR/(up_RadSpec!G3*s_EF_w*s_ED_com*(s_ET_w_o+s_ET_w_i)*(1/24)*s_IRA_w),".")</f>
        <v>2.9090909090909094E-10</v>
      </c>
      <c r="AE3" s="22">
        <f>IFERROR(s_TR/(up_RadSpec!J3*s_EF_w*(1/365)*s_ED_com*(s_ET_w_o+s_ET_w_i)*(1/24)*s_GSF_a),".")</f>
        <v>6.3709090909090908E-6</v>
      </c>
      <c r="AF3" s="22">
        <f>IFERROR(IF(AND(ISNUMBER(AD3),ISNUMBER(AE3)),1/((1/AD3)+(1/AE3)),IF(AND(ISNUMBER(AD3),NOT(ISNUMBER(AE3))),1/((1/AD3)),IF(AND(NOT(ISNUMBER(AD3)),ISNUMBER(AE3)),1/((1/AE3)),IF(AND(NOT(ISNUMBER(AD3)),NOT(ISNUMBER(AE3))),".")))),".")</f>
        <v>2.9089580799548386E-10</v>
      </c>
      <c r="AG3" s="43">
        <f t="shared" si="4"/>
        <v>34375</v>
      </c>
      <c r="AH3" s="43">
        <f t="shared" si="5"/>
        <v>1.5696347031963471</v>
      </c>
      <c r="AI3" s="10"/>
      <c r="AJ3" s="10"/>
      <c r="AK3" s="10"/>
    </row>
    <row r="4" spans="1:37" x14ac:dyDescent="0.25">
      <c r="A4" s="23" t="s">
        <v>14</v>
      </c>
      <c r="B4" s="24" t="s">
        <v>289</v>
      </c>
      <c r="C4" s="2"/>
      <c r="D4" s="22">
        <f>IFERROR((s_TR/(up_RadSpec!I4*s_EF_w*s_ED_com*s_IRS_w*(1/1000)))*1,".")</f>
        <v>7.272727272727274E-8</v>
      </c>
      <c r="E4" s="22">
        <f>IFERROR(IF(A4="H-3",(s_TR/(up_RadSpec!G4*s_EF_w*s_ED_com*(s_ET_w_o+s_ET_w_i)*(1/24)*s_IRA_w*(1/17)*1000))*1,(s_TR/(up_RadSpec!G4*s_EF_w*s_ED_com*(s_ET_w_o+s_ET_w_i)*(1/24)*s_IRA_w*(1/s_PEF_wind)*1000))*1),".")</f>
        <v>9.0250320889537203E-5</v>
      </c>
      <c r="F4" s="22">
        <f>IFERROR((s_TR/(up_RadSpec!F4*s_EF_w*(1/365)*s_ED_com*up_RadSpec!Q4*(s_ET_w_o+s_ET_w_i)*(1/24)*up_RadSpec!V4))*1,".")</f>
        <v>8.2585858585858629E-5</v>
      </c>
      <c r="G4" s="22">
        <f t="shared" si="0"/>
        <v>7.260482717550008E-8</v>
      </c>
      <c r="H4" s="43">
        <f t="shared" si="1"/>
        <v>137.5</v>
      </c>
      <c r="I4" s="43">
        <f t="shared" si="2"/>
        <v>0.11080293013295324</v>
      </c>
      <c r="J4" s="43">
        <f>s_C*s_EF_w*(1/365)*s_ED_com*(s_ET_w_o+s_ET_w_i)*(1/24)*up_RadSpec!V4*up_RadSpec!Q4*1</f>
        <v>0.12108610567514676</v>
      </c>
      <c r="K4" s="4"/>
      <c r="L4" s="4"/>
      <c r="M4" s="4"/>
      <c r="N4" s="4"/>
      <c r="O4" s="22">
        <f>IFERROR((s_TR/(up_RadSpec!F4*s_EF_w*(1/365)*s_ED_com*up_RadSpec!Q4*(s_ET_w_o+s_ET_w_i)*(1/24)*up_RadSpec!V4))*1,".")</f>
        <v>8.2585858585858629E-5</v>
      </c>
      <c r="P4" s="22">
        <f>IFERROR((s_TR/(up_RadSpec!M4*s_EF_w*(1/365)*s_ED_com*up_RadSpec!R4*(s_ET_w_o+s_ET_w_i)*(1/24)*up_RadSpec!W4))*1,".")</f>
        <v>1.3476923076923084E-4</v>
      </c>
      <c r="Q4" s="22">
        <f>IFERROR((s_TR/(up_RadSpec!N4*s_EF_w*(1/365)*s_ED_com*up_RadSpec!S4*(s_ET_w_o+s_ET_w_i)*(1/24)*up_RadSpec!X4))*1,".")</f>
        <v>9.6948616600790494E-5</v>
      </c>
      <c r="R4" s="22">
        <f>IFERROR((s_TR/(up_RadSpec!O4*s_EF_w*(1/365)*s_ED_com*up_RadSpec!T4*(s_ET_w_o+s_ET_w_i)*(1/24)*up_RadSpec!Y4))*1,".")</f>
        <v>8.4393416567329625E-5</v>
      </c>
      <c r="S4" s="22">
        <f>IFERROR((s_TR/(up_RadSpec!K4*s_EF_w*(1/365)*s_ED_com*up_RadSpec!P4*(s_ET_w_o+s_ET_w_i)*(1/24)*up_RadSpec!U4))*1,".")</f>
        <v>2.4888664733324921E-4</v>
      </c>
      <c r="T4" s="43">
        <f>s_C*s_EF_w*(1/365)*s_ED_com*(s_ET_w_o+s_ET_w_i)*(1/24)*up_RadSpec!V4*up_RadSpec!Q4*1</f>
        <v>0.12108610567514676</v>
      </c>
      <c r="U4" s="43">
        <f>s_C*s_EF_w*(1/365)*s_ED_com*(s_ET_w_o+s_ET_w_i)*(1/24)*up_RadSpec!W4*up_RadSpec!R4*1</f>
        <v>7.4200913242009128E-2</v>
      </c>
      <c r="V4" s="43">
        <f>s_C*s_EF_w*(1/365)*s_ED_com*(s_ET_w_o+s_ET_w_i)*(1/24)*up_RadSpec!X4*up_RadSpec!S4*1</f>
        <v>0.10314742335290283</v>
      </c>
      <c r="W4" s="43">
        <f>s_C*s_EF_w*(1/365)*s_ED_com*(s_ET_w_o+s_ET_w_i)*(1/24)*up_RadSpec!Y4*up_RadSpec!T4*1</f>
        <v>0.11849265507602641</v>
      </c>
      <c r="X4" s="43">
        <f>s_C*s_EF_w*(1/365)*s_ED_com*(s_ET_w_o+s_ET_w_i)*(1/24)*up_RadSpec!U4*up_RadSpec!P4*1</f>
        <v>4.0178933290102962E-2</v>
      </c>
      <c r="Y4" s="11"/>
      <c r="Z4" s="11"/>
      <c r="AA4" s="11"/>
      <c r="AB4" s="11"/>
      <c r="AC4" s="11"/>
      <c r="AD4" s="22">
        <f>IFERROR(s_TR/(up_RadSpec!G4*s_EF_w*s_ED_com*(s_ET_w_o+s_ET_w_i)*(1/24)*s_IRA_w),".")</f>
        <v>2.9090909090909094E-10</v>
      </c>
      <c r="AE4" s="22">
        <f>IFERROR(s_TR/(up_RadSpec!J4*s_EF_w*(1/365)*s_ED_com*(s_ET_w_o+s_ET_w_i)*(1/24)*s_GSF_a),".")</f>
        <v>6.3709090909090908E-6</v>
      </c>
      <c r="AF4" s="22">
        <f t="shared" ref="AF4:AF30" si="6">IFERROR(IF(AND(ISNUMBER(AD4),ISNUMBER(AE4)),1/((1/AD4)+(1/AE4)),IF(AND(ISNUMBER(AD4),NOT(ISNUMBER(AE4))),1/((1/AD4)),IF(AND(NOT(ISNUMBER(AD4)),ISNUMBER(AE4)),1/((1/AE4)),IF(AND(NOT(ISNUMBER(AD4)),NOT(ISNUMBER(AE4))),".")))),".")</f>
        <v>2.9089580799548386E-10</v>
      </c>
      <c r="AG4" s="43">
        <f t="shared" si="4"/>
        <v>34375</v>
      </c>
      <c r="AH4" s="43">
        <f t="shared" si="5"/>
        <v>1.5696347031963471</v>
      </c>
      <c r="AI4" s="10"/>
      <c r="AJ4" s="10"/>
      <c r="AK4" s="10"/>
    </row>
    <row r="5" spans="1:37" x14ac:dyDescent="0.25">
      <c r="A5" s="23" t="s">
        <v>15</v>
      </c>
      <c r="B5" s="24" t="s">
        <v>289</v>
      </c>
      <c r="C5" s="109"/>
      <c r="D5" s="22">
        <f>IFERROR((s_TR/(up_RadSpec!I5*s_EF_w*s_ED_com*s_IRS_w*(1/1000)))*1,".")</f>
        <v>7.272727272727274E-8</v>
      </c>
      <c r="E5" s="22">
        <f>IFERROR(IF(A5="H-3",(s_TR/(up_RadSpec!G5*s_EF_w*s_ED_com*(s_ET_w_o+s_ET_w_i)*(1/24)*s_IRA_w*(1/17)*1000))*1,(s_TR/(up_RadSpec!G5*s_EF_w*s_ED_com*(s_ET_w_o+s_ET_w_i)*(1/24)*s_IRA_w*(1/s_PEF_wind)*1000))*1),".")</f>
        <v>9.0250320889537203E-5</v>
      </c>
      <c r="F5" s="22" t="str">
        <f>IFERROR((s_TR/(up_RadSpec!F5*s_EF_w*(1/365)*s_ED_com*up_RadSpec!Q5*(s_ET_w_o+s_ET_w_i)*(1/24)*up_RadSpec!V5))*1,".")</f>
        <v>.</v>
      </c>
      <c r="G5" s="22">
        <f t="shared" si="0"/>
        <v>7.26687134081846E-8</v>
      </c>
      <c r="H5" s="43">
        <f t="shared" si="1"/>
        <v>137.5</v>
      </c>
      <c r="I5" s="43">
        <f t="shared" si="2"/>
        <v>0.11080293013295324</v>
      </c>
      <c r="J5" s="43">
        <f>s_C*s_EF_w*(1/365)*s_ED_com*(s_ET_w_o+s_ET_w_i)*(1/24)*up_RadSpec!V5*up_RadSpec!Q5*1</f>
        <v>0</v>
      </c>
      <c r="K5" s="4"/>
      <c r="L5" s="4"/>
      <c r="M5" s="4"/>
      <c r="N5" s="4"/>
      <c r="O5" s="22" t="str">
        <f>IFERROR((s_TR/(up_RadSpec!F5*s_EF_w*(1/365)*s_ED_com*up_RadSpec!Q5*(s_ET_w_o+s_ET_w_i)*(1/24)*up_RadSpec!V5))*1,".")</f>
        <v>.</v>
      </c>
      <c r="P5" s="22" t="str">
        <f>IFERROR((s_TR/(up_RadSpec!M5*s_EF_w*(1/365)*s_ED_com*up_RadSpec!R5*(s_ET_w_o+s_ET_w_i)*(1/24)*up_RadSpec!W5))*1,".")</f>
        <v>.</v>
      </c>
      <c r="Q5" s="22" t="str">
        <f>IFERROR((s_TR/(up_RadSpec!N5*s_EF_w*(1/365)*s_ED_com*up_RadSpec!S5*(s_ET_w_o+s_ET_w_i)*(1/24)*up_RadSpec!X5))*1,".")</f>
        <v>.</v>
      </c>
      <c r="R5" s="22" t="str">
        <f>IFERROR((s_TR/(up_RadSpec!O5*s_EF_w*(1/365)*s_ED_com*up_RadSpec!T5*(s_ET_w_o+s_ET_w_i)*(1/24)*up_RadSpec!Y5))*1,".")</f>
        <v>.</v>
      </c>
      <c r="S5" s="22" t="str">
        <f>IFERROR((s_TR/(up_RadSpec!K5*s_EF_w*(1/365)*s_ED_com*up_RadSpec!P5*(s_ET_w_o+s_ET_w_i)*(1/24)*up_RadSpec!U5))*1,".")</f>
        <v>.</v>
      </c>
      <c r="T5" s="43">
        <f>s_C*s_EF_w*(1/365)*s_ED_com*(s_ET_w_o+s_ET_w_i)*(1/24)*up_RadSpec!V5*up_RadSpec!Q5*1</f>
        <v>0</v>
      </c>
      <c r="U5" s="43">
        <f>s_C*s_EF_w*(1/365)*s_ED_com*(s_ET_w_o+s_ET_w_i)*(1/24)*up_RadSpec!W5*up_RadSpec!R5*1</f>
        <v>0</v>
      </c>
      <c r="V5" s="43">
        <f>s_C*s_EF_w*(1/365)*s_ED_com*(s_ET_w_o+s_ET_w_i)*(1/24)*up_RadSpec!X5*up_RadSpec!S5*1</f>
        <v>0</v>
      </c>
      <c r="W5" s="43">
        <f>s_C*s_EF_w*(1/365)*s_ED_com*(s_ET_w_o+s_ET_w_i)*(1/24)*up_RadSpec!Y5*up_RadSpec!T5*1</f>
        <v>0</v>
      </c>
      <c r="X5" s="43">
        <f>s_C*s_EF_w*(1/365)*s_ED_com*(s_ET_w_o+s_ET_w_i)*(1/24)*up_RadSpec!U5*up_RadSpec!P5*1</f>
        <v>0</v>
      </c>
      <c r="Y5" s="11"/>
      <c r="Z5" s="11"/>
      <c r="AA5" s="11"/>
      <c r="AB5" s="11"/>
      <c r="AC5" s="11"/>
      <c r="AD5" s="22">
        <f>IFERROR(s_TR/(up_RadSpec!G5*s_EF_w*s_ED_com*(s_ET_w_o+s_ET_w_i)*(1/24)*s_IRA_w),".")</f>
        <v>2.9090909090909094E-10</v>
      </c>
      <c r="AE5" s="22">
        <f>IFERROR(s_TR/(up_RadSpec!J5*s_EF_w*(1/365)*s_ED_com*(s_ET_w_o+s_ET_w_i)*(1/24)*s_GSF_a),".")</f>
        <v>6.3709090909090908E-6</v>
      </c>
      <c r="AF5" s="22">
        <f t="shared" si="6"/>
        <v>2.9089580799548386E-10</v>
      </c>
      <c r="AG5" s="43">
        <f t="shared" si="4"/>
        <v>34375</v>
      </c>
      <c r="AH5" s="43">
        <f t="shared" si="5"/>
        <v>1.5696347031963471</v>
      </c>
      <c r="AI5" s="10"/>
      <c r="AJ5" s="10"/>
      <c r="AK5" s="10"/>
    </row>
    <row r="6" spans="1:37" x14ac:dyDescent="0.25">
      <c r="A6" s="23" t="s">
        <v>16</v>
      </c>
      <c r="B6" s="24" t="s">
        <v>289</v>
      </c>
      <c r="C6" s="2"/>
      <c r="D6" s="22">
        <f>IFERROR((s_TR/(up_RadSpec!I6*s_EF_w*s_ED_com*s_IRS_w*(1/1000)))*1,".")</f>
        <v>7.272727272727274E-8</v>
      </c>
      <c r="E6" s="22">
        <f>IFERROR(IF(A6="H-3",(s_TR/(up_RadSpec!G6*s_EF_w*s_ED_com*(s_ET_w_o+s_ET_w_i)*(1/24)*s_IRA_w*(1/17)*1000))*1,(s_TR/(up_RadSpec!G6*s_EF_w*s_ED_com*(s_ET_w_o+s_ET_w_i)*(1/24)*s_IRA_w*(1/s_PEF_wind)*1000))*1),".")</f>
        <v>9.0250320889537203E-5</v>
      </c>
      <c r="F6" s="22">
        <f>IFERROR((s_TR/(up_RadSpec!F6*s_EF_w*(1/365)*s_ED_com*up_RadSpec!Q6*(s_ET_w_o+s_ET_w_i)*(1/24)*up_RadSpec!V6))*1,".")</f>
        <v>4.2446729275997562E-5</v>
      </c>
      <c r="G6" s="22">
        <f t="shared" si="0"/>
        <v>7.2544517343373975E-8</v>
      </c>
      <c r="H6" s="43">
        <f t="shared" si="1"/>
        <v>137.5</v>
      </c>
      <c r="I6" s="43">
        <f t="shared" si="2"/>
        <v>0.11080293013295324</v>
      </c>
      <c r="J6" s="43">
        <f>s_C*s_EF_w*(1/365)*s_ED_com*(s_ET_w_o+s_ET_w_i)*(1/24)*up_RadSpec!V6*up_RadSpec!Q6*1</f>
        <v>0.23558941220130064</v>
      </c>
      <c r="K6" s="4"/>
      <c r="L6" s="4"/>
      <c r="M6" s="4"/>
      <c r="N6" s="4"/>
      <c r="O6" s="22">
        <f>IFERROR((s_TR/(up_RadSpec!F6*s_EF_w*(1/365)*s_ED_com*up_RadSpec!Q6*(s_ET_w_o+s_ET_w_i)*(1/24)*up_RadSpec!V6))*1,".")</f>
        <v>4.2446729275997562E-5</v>
      </c>
      <c r="P6" s="22">
        <f>IFERROR((s_TR/(up_RadSpec!M6*s_EF_w*(1/365)*s_ED_com*up_RadSpec!R6*(s_ET_w_o+s_ET_w_i)*(1/24)*up_RadSpec!W6))*1,".")</f>
        <v>7.924099104449249E-5</v>
      </c>
      <c r="Q6" s="22">
        <f>IFERROR((s_TR/(up_RadSpec!N6*s_EF_w*(1/365)*s_ED_com*up_RadSpec!S6*(s_ET_w_o+s_ET_w_i)*(1/24)*up_RadSpec!X6))*1,".")</f>
        <v>5.5996573198457968E-5</v>
      </c>
      <c r="R6" s="22">
        <f>IFERROR((s_TR/(up_RadSpec!O6*s_EF_w*(1/365)*s_ED_com*up_RadSpec!T6*(s_ET_w_o+s_ET_w_i)*(1/24)*up_RadSpec!Y6))*1,".")</f>
        <v>4.6307070707070694E-5</v>
      </c>
      <c r="S6" s="22">
        <f>IFERROR((s_TR/(up_RadSpec!K6*s_EF_w*(1/365)*s_ED_com*up_RadSpec!P6*(s_ET_w_o+s_ET_w_i)*(1/24)*up_RadSpec!U6))*1,".")</f>
        <v>1.3310541310541317E-4</v>
      </c>
      <c r="T6" s="43">
        <f>s_C*s_EF_w*(1/365)*s_ED_com*(s_ET_w_o+s_ET_w_i)*(1/24)*up_RadSpec!V6*up_RadSpec!Q6*1</f>
        <v>0.23558941220130064</v>
      </c>
      <c r="U6" s="43">
        <f>s_C*s_EF_w*(1/365)*s_ED_com*(s_ET_w_o+s_ET_w_i)*(1/24)*up_RadSpec!W6*up_RadSpec!R6*1</f>
        <v>0.12619731111622734</v>
      </c>
      <c r="V6" s="43">
        <f>s_C*s_EF_w*(1/365)*s_ED_com*(s_ET_w_o+s_ET_w_i)*(1/24)*up_RadSpec!X6*up_RadSpec!S6*1</f>
        <v>0.17858235654097818</v>
      </c>
      <c r="W6" s="43">
        <f>s_C*s_EF_w*(1/365)*s_ED_com*(s_ET_w_o+s_ET_w_i)*(1/24)*up_RadSpec!Y6*up_RadSpec!T6*1</f>
        <v>0.21594974260535738</v>
      </c>
      <c r="X6" s="43">
        <f>s_C*s_EF_w*(1/365)*s_ED_com*(s_ET_w_o+s_ET_w_i)*(1/24)*up_RadSpec!U6*up_RadSpec!P6*1</f>
        <v>7.5128424657534221E-2</v>
      </c>
      <c r="Y6" s="11"/>
      <c r="Z6" s="11"/>
      <c r="AA6" s="11"/>
      <c r="AB6" s="11"/>
      <c r="AC6" s="11"/>
      <c r="AD6" s="22">
        <f>IFERROR(s_TR/(up_RadSpec!G6*s_EF_w*s_ED_com*(s_ET_w_o+s_ET_w_i)*(1/24)*s_IRA_w),".")</f>
        <v>2.9090909090909094E-10</v>
      </c>
      <c r="AE6" s="22">
        <f>IFERROR(s_TR/(up_RadSpec!J6*s_EF_w*(1/365)*s_ED_com*(s_ET_w_o+s_ET_w_i)*(1/24)*s_GSF_a),".")</f>
        <v>6.3709090909090908E-6</v>
      </c>
      <c r="AF6" s="22">
        <f t="shared" si="6"/>
        <v>2.9089580799548386E-10</v>
      </c>
      <c r="AG6" s="43">
        <f t="shared" si="4"/>
        <v>34375</v>
      </c>
      <c r="AH6" s="43">
        <f t="shared" si="5"/>
        <v>1.5696347031963471</v>
      </c>
      <c r="AI6" s="10"/>
      <c r="AJ6" s="10"/>
      <c r="AK6" s="10"/>
    </row>
    <row r="7" spans="1:37" x14ac:dyDescent="0.25">
      <c r="A7" s="23" t="s">
        <v>17</v>
      </c>
      <c r="B7" s="24" t="s">
        <v>289</v>
      </c>
      <c r="C7" s="109"/>
      <c r="D7" s="22">
        <f>IFERROR((s_TR/(up_RadSpec!I7*s_EF_w*s_ED_com*s_IRS_w*(1/1000)))*1,".")</f>
        <v>7.272727272727274E-8</v>
      </c>
      <c r="E7" s="22">
        <f>IFERROR(IF(A7="H-3",(s_TR/(up_RadSpec!G7*s_EF_w*s_ED_com*(s_ET_w_o+s_ET_w_i)*(1/24)*s_IRA_w*(1/17)*1000))*1,(s_TR/(up_RadSpec!G7*s_EF_w*s_ED_com*(s_ET_w_o+s_ET_w_i)*(1/24)*s_IRA_w*(1/s_PEF_wind)*1000))*1),".")</f>
        <v>9.0250320889537203E-5</v>
      </c>
      <c r="F7" s="22">
        <f>IFERROR((s_TR/(up_RadSpec!F7*s_EF_w*(1/365)*s_ED_com*up_RadSpec!Q7*(s_ET_w_o+s_ET_w_i)*(1/24)*up_RadSpec!V7))*1,".")</f>
        <v>9.1843397478433964E-5</v>
      </c>
      <c r="G7" s="22">
        <f t="shared" si="0"/>
        <v>7.2611261624974268E-8</v>
      </c>
      <c r="H7" s="43">
        <f t="shared" si="1"/>
        <v>137.5</v>
      </c>
      <c r="I7" s="43">
        <f t="shared" si="2"/>
        <v>0.11080293013295324</v>
      </c>
      <c r="J7" s="43">
        <f>s_C*s_EF_w*(1/365)*s_ED_com*(s_ET_w_o+s_ET_w_i)*(1/24)*up_RadSpec!V7*up_RadSpec!Q7*1</f>
        <v>0.10888098953817704</v>
      </c>
      <c r="K7" s="4"/>
      <c r="L7" s="4"/>
      <c r="M7" s="4"/>
      <c r="N7" s="4"/>
      <c r="O7" s="22">
        <f>IFERROR((s_TR/(up_RadSpec!F7*s_EF_w*(1/365)*s_ED_com*up_RadSpec!Q7*(s_ET_w_o+s_ET_w_i)*(1/24)*up_RadSpec!V7))*1,".")</f>
        <v>9.1843397478433964E-5</v>
      </c>
      <c r="P7" s="22">
        <f>IFERROR((s_TR/(up_RadSpec!M7*s_EF_w*(1/365)*s_ED_com*up_RadSpec!R7*(s_ET_w_o+s_ET_w_i)*(1/24)*up_RadSpec!W7))*1,".")</f>
        <v>1.4611153552330033E-4</v>
      </c>
      <c r="Q7" s="22">
        <f>IFERROR((s_TR/(up_RadSpec!N7*s_EF_w*(1/365)*s_ED_com*up_RadSpec!S7*(s_ET_w_o+s_ET_w_i)*(1/24)*up_RadSpec!X7))*1,".")</f>
        <v>1.0704545454545457E-4</v>
      </c>
      <c r="R7" s="22">
        <f>IFERROR((s_TR/(up_RadSpec!O7*s_EF_w*(1/365)*s_ED_com*up_RadSpec!T7*(s_ET_w_o+s_ET_w_i)*(1/24)*up_RadSpec!Y7))*1,".")</f>
        <v>9.8471359678034887E-5</v>
      </c>
      <c r="S7" s="22">
        <f>IFERROR((s_TR/(up_RadSpec!K7*s_EF_w*(1/365)*s_ED_com*up_RadSpec!P7*(s_ET_w_o+s_ET_w_i)*(1/24)*up_RadSpec!U7))*1,".")</f>
        <v>2.500423640530592E-4</v>
      </c>
      <c r="T7" s="43">
        <f>s_C*s_EF_w*(1/365)*s_ED_com*(s_ET_w_o+s_ET_w_i)*(1/24)*up_RadSpec!V7*up_RadSpec!Q7*1</f>
        <v>0.10888098953817704</v>
      </c>
      <c r="U7" s="43">
        <f>s_C*s_EF_w*(1/365)*s_ED_com*(s_ET_w_o+s_ET_w_i)*(1/24)*up_RadSpec!W7*up_RadSpec!R7*1</f>
        <v>6.8440865837080381E-2</v>
      </c>
      <c r="V7" s="43">
        <f>s_C*s_EF_w*(1/365)*s_ED_com*(s_ET_w_o+s_ET_w_i)*(1/24)*up_RadSpec!X7*up_RadSpec!S7*1</f>
        <v>9.3418259023354558E-2</v>
      </c>
      <c r="W7" s="43">
        <f>s_C*s_EF_w*(1/365)*s_ED_com*(s_ET_w_o+s_ET_w_i)*(1/24)*up_RadSpec!Y7*up_RadSpec!T7*1</f>
        <v>0.10155237048311634</v>
      </c>
      <c r="X7" s="43">
        <f>s_C*s_EF_w*(1/365)*s_ED_com*(s_ET_w_o+s_ET_w_i)*(1/24)*up_RadSpec!U7*up_RadSpec!P7*1</f>
        <v>3.9993222899932249E-2</v>
      </c>
      <c r="Y7" s="11"/>
      <c r="Z7" s="11"/>
      <c r="AA7" s="11"/>
      <c r="AB7" s="11"/>
      <c r="AC7" s="11"/>
      <c r="AD7" s="22">
        <f>IFERROR(s_TR/(up_RadSpec!G7*s_EF_w*s_ED_com*(s_ET_w_o+s_ET_w_i)*(1/24)*s_IRA_w),".")</f>
        <v>2.9090909090909094E-10</v>
      </c>
      <c r="AE7" s="22">
        <f>IFERROR(s_TR/(up_RadSpec!J7*s_EF_w*(1/365)*s_ED_com*(s_ET_w_o+s_ET_w_i)*(1/24)*s_GSF_a),".")</f>
        <v>6.3709090909090908E-6</v>
      </c>
      <c r="AF7" s="22">
        <f t="shared" si="6"/>
        <v>2.9089580799548386E-10</v>
      </c>
      <c r="AG7" s="43">
        <f t="shared" si="4"/>
        <v>34375</v>
      </c>
      <c r="AH7" s="43">
        <f t="shared" si="5"/>
        <v>1.5696347031963471</v>
      </c>
      <c r="AI7" s="10"/>
      <c r="AJ7" s="10"/>
      <c r="AK7" s="10"/>
    </row>
    <row r="8" spans="1:37" x14ac:dyDescent="0.25">
      <c r="A8" s="23" t="s">
        <v>18</v>
      </c>
      <c r="B8" s="24" t="s">
        <v>289</v>
      </c>
      <c r="C8" s="2"/>
      <c r="D8" s="22">
        <f>IFERROR((s_TR/(up_RadSpec!I8*s_EF_w*s_ED_com*s_IRS_w*(1/1000)))*1,".")</f>
        <v>7.272727272727274E-8</v>
      </c>
      <c r="E8" s="22">
        <f>IFERROR(IF(A8="H-3",(s_TR/(up_RadSpec!G8*s_EF_w*s_ED_com*(s_ET_w_o+s_ET_w_i)*(1/24)*s_IRA_w*(1/17)*1000))*1,(s_TR/(up_RadSpec!G8*s_EF_w*s_ED_com*(s_ET_w_o+s_ET_w_i)*(1/24)*s_IRA_w*(1/s_PEF_wind)*1000))*1),".")</f>
        <v>9.0250320889537203E-5</v>
      </c>
      <c r="F8" s="22">
        <f>IFERROR((s_TR/(up_RadSpec!F8*s_EF_w*(1/365)*s_ED_com*up_RadSpec!Q8*(s_ET_w_o+s_ET_w_i)*(1/24)*up_RadSpec!V8))*1,".")</f>
        <v>5.2797589151180345E-5</v>
      </c>
      <c r="G8" s="22">
        <f t="shared" si="0"/>
        <v>7.2568832262873637E-8</v>
      </c>
      <c r="H8" s="43">
        <f t="shared" si="1"/>
        <v>137.5</v>
      </c>
      <c r="I8" s="43">
        <f t="shared" si="2"/>
        <v>0.11080293013295324</v>
      </c>
      <c r="J8" s="43">
        <f>s_C*s_EF_w*(1/365)*s_ED_com*(s_ET_w_o+s_ET_w_i)*(1/24)*up_RadSpec!V8*up_RadSpec!Q8*1</f>
        <v>0.18940258751902581</v>
      </c>
      <c r="K8" s="4"/>
      <c r="L8" s="4"/>
      <c r="M8" s="4"/>
      <c r="N8" s="4"/>
      <c r="O8" s="22">
        <f>IFERROR((s_TR/(up_RadSpec!F8*s_EF_w*(1/365)*s_ED_com*up_RadSpec!Q8*(s_ET_w_o+s_ET_w_i)*(1/24)*up_RadSpec!V8))*1,".")</f>
        <v>5.2797589151180345E-5</v>
      </c>
      <c r="P8" s="22">
        <f>IFERROR((s_TR/(up_RadSpec!M8*s_EF_w*(1/365)*s_ED_com*up_RadSpec!R8*(s_ET_w_o+s_ET_w_i)*(1/24)*up_RadSpec!W8))*1,".")</f>
        <v>9.6920523695371574E-5</v>
      </c>
      <c r="Q8" s="22">
        <f>IFERROR((s_TR/(up_RadSpec!N8*s_EF_w*(1/365)*s_ED_com*up_RadSpec!S8*(s_ET_w_o+s_ET_w_i)*(1/24)*up_RadSpec!X8))*1,".")</f>
        <v>7.0742962621135223E-5</v>
      </c>
      <c r="R8" s="22">
        <f>IFERROR((s_TR/(up_RadSpec!O8*s_EF_w*(1/365)*s_ED_com*up_RadSpec!T8*(s_ET_w_o+s_ET_w_i)*(1/24)*up_RadSpec!Y8))*1,".")</f>
        <v>6.4860129832885815E-5</v>
      </c>
      <c r="S8" s="22">
        <f>IFERROR((s_TR/(up_RadSpec!K8*s_EF_w*(1/365)*s_ED_com*up_RadSpec!P8*(s_ET_w_o+s_ET_w_i)*(1/24)*up_RadSpec!U8))*1,".")</f>
        <v>1.7958267236119584E-4</v>
      </c>
      <c r="T8" s="43">
        <f>s_C*s_EF_w*(1/365)*s_ED_com*(s_ET_w_o+s_ET_w_i)*(1/24)*up_RadSpec!V8*up_RadSpec!Q8*1</f>
        <v>0.18940258751902581</v>
      </c>
      <c r="U8" s="43">
        <f>s_C*s_EF_w*(1/365)*s_ED_com*(s_ET_w_o+s_ET_w_i)*(1/24)*up_RadSpec!W8*up_RadSpec!R8*1</f>
        <v>0.10317732115677322</v>
      </c>
      <c r="V8" s="43">
        <f>s_C*s_EF_w*(1/365)*s_ED_com*(s_ET_w_o+s_ET_w_i)*(1/24)*up_RadSpec!X8*up_RadSpec!S8*1</f>
        <v>0.14135681669928246</v>
      </c>
      <c r="W8" s="43">
        <f>s_C*s_EF_w*(1/365)*s_ED_com*(s_ET_w_o+s_ET_w_i)*(1/24)*up_RadSpec!Y8*up_RadSpec!T8*1</f>
        <v>0.15417792140973693</v>
      </c>
      <c r="X8" s="43">
        <f>s_C*s_EF_w*(1/365)*s_ED_com*(s_ET_w_o+s_ET_w_i)*(1/24)*up_RadSpec!U8*up_RadSpec!P8*1</f>
        <v>5.5684659708632324E-2</v>
      </c>
      <c r="Y8" s="11"/>
      <c r="Z8" s="11"/>
      <c r="AA8" s="11"/>
      <c r="AB8" s="11"/>
      <c r="AC8" s="11"/>
      <c r="AD8" s="22">
        <f>IFERROR(s_TR/(up_RadSpec!G8*s_EF_w*s_ED_com*(s_ET_w_o+s_ET_w_i)*(1/24)*s_IRA_w),".")</f>
        <v>2.9090909090909094E-10</v>
      </c>
      <c r="AE8" s="22">
        <f>IFERROR(s_TR/(up_RadSpec!J8*s_EF_w*(1/365)*s_ED_com*(s_ET_w_o+s_ET_w_i)*(1/24)*s_GSF_a),".")</f>
        <v>6.3709090909090908E-6</v>
      </c>
      <c r="AF8" s="22">
        <f t="shared" si="6"/>
        <v>2.9089580799548386E-10</v>
      </c>
      <c r="AG8" s="43">
        <f t="shared" si="4"/>
        <v>34375</v>
      </c>
      <c r="AH8" s="43">
        <f t="shared" si="5"/>
        <v>1.5696347031963471</v>
      </c>
      <c r="AI8" s="10"/>
      <c r="AJ8" s="10"/>
      <c r="AK8" s="10"/>
    </row>
    <row r="9" spans="1:37" x14ac:dyDescent="0.25">
      <c r="A9" s="23" t="s">
        <v>19</v>
      </c>
      <c r="B9" s="24" t="s">
        <v>289</v>
      </c>
      <c r="C9" s="109"/>
      <c r="D9" s="22">
        <f>IFERROR((s_TR/(up_RadSpec!I9*s_EF_w*s_ED_com*s_IRS_w*(1/1000)))*1,".")</f>
        <v>7.272727272727274E-8</v>
      </c>
      <c r="E9" s="22">
        <f>IFERROR(IF(A9="H-3",(s_TR/(up_RadSpec!G9*s_EF_w*s_ED_com*(s_ET_w_o+s_ET_w_i)*(1/24)*s_IRA_w*(1/17)*1000))*1,(s_TR/(up_RadSpec!G9*s_EF_w*s_ED_com*(s_ET_w_o+s_ET_w_i)*(1/24)*s_IRA_w*(1/s_PEF_wind)*1000))*1),".")</f>
        <v>9.0250320889537203E-5</v>
      </c>
      <c r="F9" s="22">
        <f>IFERROR((s_TR/(up_RadSpec!F9*s_EF_w*(1/365)*s_ED_com*up_RadSpec!Q9*(s_ET_w_o+s_ET_w_i)*(1/24)*up_RadSpec!V9))*1,".")</f>
        <v>2.600218130493359E-5</v>
      </c>
      <c r="G9" s="22">
        <f t="shared" si="0"/>
        <v>7.2466190981221994E-8</v>
      </c>
      <c r="H9" s="43">
        <f t="shared" si="1"/>
        <v>137.5</v>
      </c>
      <c r="I9" s="43">
        <f t="shared" si="2"/>
        <v>0.11080293013295324</v>
      </c>
      <c r="J9" s="43">
        <f>s_C*s_EF_w*(1/365)*s_ED_com*(s_ET_w_o+s_ET_w_i)*(1/24)*up_RadSpec!V9*up_RadSpec!Q9*1</f>
        <v>0.38458311949784862</v>
      </c>
      <c r="K9" s="4"/>
      <c r="L9" s="4"/>
      <c r="M9" s="4"/>
      <c r="N9" s="4"/>
      <c r="O9" s="22">
        <f>IFERROR((s_TR/(up_RadSpec!F9*s_EF_w*(1/365)*s_ED_com*up_RadSpec!Q9*(s_ET_w_o+s_ET_w_i)*(1/24)*up_RadSpec!V9))*1,".")</f>
        <v>2.600218130493359E-5</v>
      </c>
      <c r="P9" s="22">
        <f>IFERROR((s_TR/(up_RadSpec!M9*s_EF_w*(1/365)*s_ED_com*up_RadSpec!R9*(s_ET_w_o+s_ET_w_i)*(1/24)*up_RadSpec!W9))*1,".")</f>
        <v>5.3256818181818208E-5</v>
      </c>
      <c r="Q9" s="22">
        <f>IFERROR((s_TR/(up_RadSpec!N9*s_EF_w*(1/365)*s_ED_com*up_RadSpec!S9*(s_ET_w_o+s_ET_w_i)*(1/24)*up_RadSpec!X9))*1,".")</f>
        <v>3.7472539423599806E-5</v>
      </c>
      <c r="R9" s="22">
        <f>IFERROR((s_TR/(up_RadSpec!O9*s_EF_w*(1/365)*s_ED_com*up_RadSpec!T9*(s_ET_w_o+s_ET_w_i)*(1/24)*up_RadSpec!Y9))*1,".")</f>
        <v>3.0889256198347112E-5</v>
      </c>
      <c r="S9" s="22">
        <f>IFERROR((s_TR/(up_RadSpec!K9*s_EF_w*(1/365)*s_ED_com*up_RadSpec!P9*(s_ET_w_o+s_ET_w_i)*(1/24)*up_RadSpec!U9))*1,".")</f>
        <v>9.4332709543977193E-5</v>
      </c>
      <c r="T9" s="43">
        <f>s_C*s_EF_w*(1/365)*s_ED_com*(s_ET_w_o+s_ET_w_i)*(1/24)*up_RadSpec!V9*up_RadSpec!Q9*1</f>
        <v>0.38458311949784862</v>
      </c>
      <c r="U9" s="43">
        <f>s_C*s_EF_w*(1/365)*s_ED_com*(s_ET_w_o+s_ET_w_i)*(1/24)*up_RadSpec!W9*up_RadSpec!R9*1</f>
        <v>0.18776938505526386</v>
      </c>
      <c r="V9" s="43">
        <f>s_C*s_EF_w*(1/365)*s_ED_com*(s_ET_w_o+s_ET_w_i)*(1/24)*up_RadSpec!X9*up_RadSpec!S9*1</f>
        <v>0.26686208497794273</v>
      </c>
      <c r="W9" s="43">
        <f>s_C*s_EF_w*(1/365)*s_ED_com*(s_ET_w_o+s_ET_w_i)*(1/24)*up_RadSpec!Y9*up_RadSpec!T9*1</f>
        <v>0.32373715753424659</v>
      </c>
      <c r="X9" s="43">
        <f>s_C*s_EF_w*(1/365)*s_ED_com*(s_ET_w_o+s_ET_w_i)*(1/24)*up_RadSpec!U9*up_RadSpec!P9*1</f>
        <v>0.10600776812562643</v>
      </c>
      <c r="Y9" s="11"/>
      <c r="Z9" s="11"/>
      <c r="AA9" s="11"/>
      <c r="AB9" s="11"/>
      <c r="AC9" s="11"/>
      <c r="AD9" s="22">
        <f>IFERROR(s_TR/(up_RadSpec!G9*s_EF_w*s_ED_com*(s_ET_w_o+s_ET_w_i)*(1/24)*s_IRA_w),".")</f>
        <v>2.9090909090909094E-10</v>
      </c>
      <c r="AE9" s="22">
        <f>IFERROR(s_TR/(up_RadSpec!J9*s_EF_w*(1/365)*s_ED_com*(s_ET_w_o+s_ET_w_i)*(1/24)*s_GSF_a),".")</f>
        <v>6.3709090909090908E-6</v>
      </c>
      <c r="AF9" s="22">
        <f t="shared" si="6"/>
        <v>2.9089580799548386E-10</v>
      </c>
      <c r="AG9" s="43">
        <f t="shared" si="4"/>
        <v>34375</v>
      </c>
      <c r="AH9" s="43">
        <f t="shared" si="5"/>
        <v>1.5696347031963471</v>
      </c>
      <c r="AI9" s="10"/>
      <c r="AJ9" s="10"/>
      <c r="AK9" s="10"/>
    </row>
    <row r="10" spans="1:37" x14ac:dyDescent="0.25">
      <c r="A10" s="25" t="s">
        <v>20</v>
      </c>
      <c r="B10" s="24" t="s">
        <v>275</v>
      </c>
      <c r="C10" s="2"/>
      <c r="D10" s="22">
        <f>IFERROR((s_TR/(up_RadSpec!I10*s_EF_w*s_ED_com*s_IRS_w*(1/1000)))*1,".")</f>
        <v>7.272727272727274E-8</v>
      </c>
      <c r="E10" s="22">
        <f>IFERROR(IF(A10="H-3",(s_TR/(up_RadSpec!G10*s_EF_w*s_ED_com*(s_ET_w_o+s_ET_w_i)*(1/24)*s_IRA_w*(1/17)*1000))*1,(s_TR/(up_RadSpec!G10*s_EF_w*s_ED_com*(s_ET_w_o+s_ET_w_i)*(1/24)*s_IRA_w*(1/s_PEF_wind)*1000))*1),".")</f>
        <v>9.0250320889537203E-5</v>
      </c>
      <c r="F10" s="22">
        <f>IFERROR((s_TR/(up_RadSpec!F10*s_EF_w*(1/365)*s_ED_com*up_RadSpec!Q10*(s_ET_w_o+s_ET_w_i)*(1/24)*up_RadSpec!V10))*1,".")</f>
        <v>4.9753766233766238E-5</v>
      </c>
      <c r="G10" s="22">
        <f t="shared" si="0"/>
        <v>7.2562730672032604E-8</v>
      </c>
      <c r="H10" s="43">
        <f t="shared" si="1"/>
        <v>137.5</v>
      </c>
      <c r="I10" s="43">
        <f t="shared" si="2"/>
        <v>0.11080293013295324</v>
      </c>
      <c r="J10" s="43">
        <f>s_C*s_EF_w*(1/365)*s_ED_com*(s_ET_w_o+s_ET_w_i)*(1/24)*up_RadSpec!V10*up_RadSpec!Q10*1</f>
        <v>0.20098980955562981</v>
      </c>
      <c r="K10" s="4"/>
      <c r="L10" s="4"/>
      <c r="M10" s="4"/>
      <c r="N10" s="4"/>
      <c r="O10" s="22">
        <f>IFERROR((s_TR/(up_RadSpec!F10*s_EF_w*(1/365)*s_ED_com*up_RadSpec!Q10*(s_ET_w_o+s_ET_w_i)*(1/24)*up_RadSpec!V10))*1,".")</f>
        <v>4.9753766233766238E-5</v>
      </c>
      <c r="P10" s="22">
        <f>IFERROR((s_TR/(up_RadSpec!M10*s_EF_w*(1/365)*s_ED_com*up_RadSpec!R10*(s_ET_w_o+s_ET_w_i)*(1/24)*up_RadSpec!W10))*1,".")</f>
        <v>7.7529581529581511E-5</v>
      </c>
      <c r="Q10" s="22">
        <f>IFERROR((s_TR/(up_RadSpec!N10*s_EF_w*(1/365)*s_ED_com*up_RadSpec!S10*(s_ET_w_o+s_ET_w_i)*(1/24)*up_RadSpec!X10))*1,".")</f>
        <v>5.5366265416759952E-5</v>
      </c>
      <c r="R10" s="22">
        <f>IFERROR((s_TR/(up_RadSpec!O10*s_EF_w*(1/365)*s_ED_com*up_RadSpec!T10*(s_ET_w_o+s_ET_w_i)*(1/24)*up_RadSpec!Y10))*1,".")</f>
        <v>5.0638919313618115E-5</v>
      </c>
      <c r="S10" s="22">
        <f>IFERROR((s_TR/(up_RadSpec!K10*s_EF_w*(1/365)*s_ED_com*up_RadSpec!P10*(s_ET_w_o+s_ET_w_i)*(1/24)*up_RadSpec!U10))*1,".")</f>
        <v>1.3033370352742084E-4</v>
      </c>
      <c r="T10" s="43">
        <f>s_C*s_EF_w*(1/365)*s_ED_com*(s_ET_w_o+s_ET_w_i)*(1/24)*up_RadSpec!V10*up_RadSpec!Q10*1</f>
        <v>0.20098980955562981</v>
      </c>
      <c r="U10" s="43">
        <f>s_C*s_EF_w*(1/365)*s_ED_com*(s_ET_w_o+s_ET_w_i)*(1/24)*up_RadSpec!W10*up_RadSpec!R10*1</f>
        <v>0.1289830256104825</v>
      </c>
      <c r="V10" s="43">
        <f>s_C*s_EF_w*(1/365)*s_ED_com*(s_ET_w_o+s_ET_w_i)*(1/24)*up_RadSpec!X10*up_RadSpec!S10*1</f>
        <v>0.18061539684366895</v>
      </c>
      <c r="W10" s="43">
        <f>s_C*s_EF_w*(1/365)*s_ED_com*(s_ET_w_o+s_ET_w_i)*(1/24)*up_RadSpec!Y10*up_RadSpec!T10*1</f>
        <v>0.19747656813266046</v>
      </c>
      <c r="X10" s="43">
        <f>s_C*s_EF_w*(1/365)*s_ED_com*(s_ET_w_o+s_ET_w_i)*(1/24)*up_RadSpec!U10*up_RadSpec!P10*1</f>
        <v>7.6726124780886834E-2</v>
      </c>
      <c r="Y10" s="11"/>
      <c r="Z10" s="11"/>
      <c r="AA10" s="11"/>
      <c r="AB10" s="11"/>
      <c r="AC10" s="11"/>
      <c r="AD10" s="22">
        <f>IFERROR(s_TR/(up_RadSpec!G10*s_EF_w*s_ED_com*(s_ET_w_o+s_ET_w_i)*(1/24)*s_IRA_w),".")</f>
        <v>2.9090909090909094E-10</v>
      </c>
      <c r="AE10" s="22">
        <f>IFERROR(s_TR/(up_RadSpec!J10*s_EF_w*(1/365)*s_ED_com*(s_ET_w_o+s_ET_w_i)*(1/24)*s_GSF_a),".")</f>
        <v>6.3709090909090908E-6</v>
      </c>
      <c r="AF10" s="22">
        <f t="shared" si="6"/>
        <v>2.9089580799548386E-10</v>
      </c>
      <c r="AG10" s="43">
        <f t="shared" si="4"/>
        <v>34375</v>
      </c>
      <c r="AH10" s="43">
        <f t="shared" si="5"/>
        <v>1.5696347031963471</v>
      </c>
      <c r="AI10" s="10"/>
      <c r="AJ10" s="10"/>
      <c r="AK10" s="10"/>
    </row>
    <row r="11" spans="1:37" x14ac:dyDescent="0.25">
      <c r="A11" s="23" t="s">
        <v>21</v>
      </c>
      <c r="B11" s="24" t="s">
        <v>289</v>
      </c>
      <c r="C11" s="2"/>
      <c r="D11" s="22">
        <f>IFERROR((s_TR/(up_RadSpec!I11*s_EF_w*s_ED_com*s_IRS_w*(1/1000)))*1,".")</f>
        <v>7.272727272727274E-8</v>
      </c>
      <c r="E11" s="22">
        <f>IFERROR(IF(A11="H-3",(s_TR/(up_RadSpec!G11*s_EF_w*s_ED_com*(s_ET_w_o+s_ET_w_i)*(1/24)*s_IRA_w*(1/17)*1000))*1,(s_TR/(up_RadSpec!G11*s_EF_w*s_ED_com*(s_ET_w_o+s_ET_w_i)*(1/24)*s_IRA_w*(1/s_PEF_wind)*1000))*1),".")</f>
        <v>9.0250320889537203E-5</v>
      </c>
      <c r="F11" s="22">
        <f>IFERROR((s_TR/(up_RadSpec!F11*s_EF_w*(1/365)*s_ED_com*up_RadSpec!Q11*(s_ET_w_o+s_ET_w_i)*(1/24)*up_RadSpec!V11))*1,".")</f>
        <v>1.4877122877122876E-4</v>
      </c>
      <c r="G11" s="22">
        <f t="shared" si="0"/>
        <v>7.2633235017752465E-8</v>
      </c>
      <c r="H11" s="43">
        <f t="shared" si="1"/>
        <v>137.5</v>
      </c>
      <c r="I11" s="43">
        <f t="shared" si="2"/>
        <v>0.11080293013295324</v>
      </c>
      <c r="J11" s="43">
        <f>s_C*s_EF_w*(1/365)*s_ED_com*(s_ET_w_o+s_ET_w_i)*(1/24)*up_RadSpec!V11*up_RadSpec!Q11*1</f>
        <v>6.7217297878055346E-2</v>
      </c>
      <c r="K11" s="4"/>
      <c r="L11" s="4"/>
      <c r="M11" s="4"/>
      <c r="N11" s="4"/>
      <c r="O11" s="22">
        <f>IFERROR((s_TR/(up_RadSpec!F11*s_EF_w*(1/365)*s_ED_com*up_RadSpec!Q11*(s_ET_w_o+s_ET_w_i)*(1/24)*up_RadSpec!V11))*1,".")</f>
        <v>1.4877122877122876E-4</v>
      </c>
      <c r="P11" s="22">
        <f>IFERROR((s_TR/(up_RadSpec!M11*s_EF_w*(1/365)*s_ED_com*up_RadSpec!R11*(s_ET_w_o+s_ET_w_i)*(1/24)*up_RadSpec!W11))*1,".")</f>
        <v>1.8824477461596578E-4</v>
      </c>
      <c r="Q11" s="22">
        <f>IFERROR((s_TR/(up_RadSpec!N11*s_EF_w*(1/365)*s_ED_com*up_RadSpec!S11*(s_ET_w_o+s_ET_w_i)*(1/24)*up_RadSpec!X11))*1,".")</f>
        <v>1.4609548724656639E-4</v>
      </c>
      <c r="R11" s="22">
        <f>IFERROR((s_TR/(up_RadSpec!O11*s_EF_w*(1/365)*s_ED_com*up_RadSpec!T11*(s_ET_w_o+s_ET_w_i)*(1/24)*up_RadSpec!Y11))*1,".")</f>
        <v>1.3916387959866225E-4</v>
      </c>
      <c r="S11" s="22">
        <f>IFERROR((s_TR/(up_RadSpec!K11*s_EF_w*(1/365)*s_ED_com*up_RadSpec!P11*(s_ET_w_o+s_ET_w_i)*(1/24)*up_RadSpec!U11))*1,".")</f>
        <v>3.5044063079777365E-4</v>
      </c>
      <c r="T11" s="43">
        <f>s_C*s_EF_w*(1/365)*s_ED_com*(s_ET_w_o+s_ET_w_i)*(1/24)*up_RadSpec!V11*up_RadSpec!Q11*1</f>
        <v>6.7217297878055346E-2</v>
      </c>
      <c r="U11" s="43">
        <f>s_C*s_EF_w*(1/365)*s_ED_com*(s_ET_w_o+s_ET_w_i)*(1/24)*up_RadSpec!W11*up_RadSpec!R11*1</f>
        <v>5.3122324486301373E-2</v>
      </c>
      <c r="V11" s="43">
        <f>s_C*s_EF_w*(1/365)*s_ED_com*(s_ET_w_o+s_ET_w_i)*(1/24)*up_RadSpec!X11*up_RadSpec!S11*1</f>
        <v>6.8448383919777978E-2</v>
      </c>
      <c r="W11" s="43">
        <f>s_C*s_EF_w*(1/365)*s_ED_com*(s_ET_w_o+s_ET_w_i)*(1/24)*up_RadSpec!Y11*up_RadSpec!T11*1</f>
        <v>7.1857726508050931E-2</v>
      </c>
      <c r="X11" s="43">
        <f>s_C*s_EF_w*(1/365)*s_ED_com*(s_ET_w_o+s_ET_w_i)*(1/24)*up_RadSpec!U11*up_RadSpec!P11*1</f>
        <v>2.8535503937528954E-2</v>
      </c>
      <c r="Y11" s="11"/>
      <c r="Z11" s="11"/>
      <c r="AA11" s="11"/>
      <c r="AB11" s="11"/>
      <c r="AC11" s="11"/>
      <c r="AD11" s="22">
        <f>IFERROR(s_TR/(up_RadSpec!G11*s_EF_w*s_ED_com*(s_ET_w_o+s_ET_w_i)*(1/24)*s_IRA_w),".")</f>
        <v>2.9090909090909094E-10</v>
      </c>
      <c r="AE11" s="22">
        <f>IFERROR(s_TR/(up_RadSpec!J11*s_EF_w*(1/365)*s_ED_com*(s_ET_w_o+s_ET_w_i)*(1/24)*s_GSF_a),".")</f>
        <v>6.3709090909090908E-6</v>
      </c>
      <c r="AF11" s="22">
        <f t="shared" si="6"/>
        <v>2.9089580799548386E-10</v>
      </c>
      <c r="AG11" s="43">
        <f t="shared" si="4"/>
        <v>34375</v>
      </c>
      <c r="AH11" s="43">
        <f t="shared" si="5"/>
        <v>1.5696347031963471</v>
      </c>
      <c r="AI11" s="10"/>
      <c r="AJ11" s="10"/>
      <c r="AK11" s="10"/>
    </row>
    <row r="12" spans="1:37" x14ac:dyDescent="0.25">
      <c r="A12" s="23" t="s">
        <v>22</v>
      </c>
      <c r="B12" s="24" t="s">
        <v>289</v>
      </c>
      <c r="C12" s="109"/>
      <c r="D12" s="22">
        <f>IFERROR((s_TR/(up_RadSpec!I12*s_EF_w*s_ED_com*s_IRS_w*(1/1000)))*1,".")</f>
        <v>7.272727272727274E-8</v>
      </c>
      <c r="E12" s="22">
        <f>IFERROR(IF(A12="H-3",(s_TR/(up_RadSpec!G12*s_EF_w*s_ED_com*(s_ET_w_o+s_ET_w_i)*(1/24)*s_IRA_w*(1/17)*1000))*1,(s_TR/(up_RadSpec!G12*s_EF_w*s_ED_com*(s_ET_w_o+s_ET_w_i)*(1/24)*s_IRA_w*(1/s_PEF_wind)*1000))*1),".")</f>
        <v>9.0250320889537203E-5</v>
      </c>
      <c r="F12" s="22">
        <f>IFERROR((s_TR/(up_RadSpec!F12*s_EF_w*(1/365)*s_ED_com*up_RadSpec!Q12*(s_ET_w_o+s_ET_w_i)*(1/24)*up_RadSpec!V12))*1,".")</f>
        <v>7.1282058319039457E-5</v>
      </c>
      <c r="G12" s="22">
        <f t="shared" si="0"/>
        <v>7.2594706511542707E-8</v>
      </c>
      <c r="H12" s="43">
        <f t="shared" si="1"/>
        <v>137.5</v>
      </c>
      <c r="I12" s="43">
        <f t="shared" si="2"/>
        <v>0.11080293013295324</v>
      </c>
      <c r="J12" s="43">
        <f>s_C*s_EF_w*(1/365)*s_ED_com*(s_ET_w_o+s_ET_w_i)*(1/24)*up_RadSpec!V12*up_RadSpec!Q12*1</f>
        <v>0.14028775593491805</v>
      </c>
      <c r="K12" s="4"/>
      <c r="L12" s="4"/>
      <c r="M12" s="4"/>
      <c r="N12" s="4"/>
      <c r="O12" s="22">
        <f>IFERROR((s_TR/(up_RadSpec!F12*s_EF_w*(1/365)*s_ED_com*up_RadSpec!Q12*(s_ET_w_o+s_ET_w_i)*(1/24)*up_RadSpec!V12))*1,".")</f>
        <v>7.1282058319039457E-5</v>
      </c>
      <c r="P12" s="22">
        <f>IFERROR((s_TR/(up_RadSpec!M12*s_EF_w*(1/365)*s_ED_com*up_RadSpec!R12*(s_ET_w_o+s_ET_w_i)*(1/24)*up_RadSpec!W12))*1,".")</f>
        <v>1.2788458442018489E-4</v>
      </c>
      <c r="Q12" s="22">
        <f>IFERROR((s_TR/(up_RadSpec!N12*s_EF_w*(1/365)*s_ED_com*up_RadSpec!S12*(s_ET_w_o+s_ET_w_i)*(1/24)*up_RadSpec!X12))*1,".")</f>
        <v>9.2727530906164851E-5</v>
      </c>
      <c r="R12" s="22">
        <f>IFERROR((s_TR/(up_RadSpec!O12*s_EF_w*(1/365)*s_ED_com*up_RadSpec!T12*(s_ET_w_o+s_ET_w_i)*(1/24)*up_RadSpec!Y12))*1,".")</f>
        <v>8.1891342636499108E-5</v>
      </c>
      <c r="S12" s="22">
        <f>IFERROR((s_TR/(up_RadSpec!K12*s_EF_w*(1/365)*s_ED_com*up_RadSpec!P12*(s_ET_w_o+s_ET_w_i)*(1/24)*up_RadSpec!U12))*1,".")</f>
        <v>2.207606679035251E-4</v>
      </c>
      <c r="T12" s="43">
        <f>s_C*s_EF_w*(1/365)*s_ED_com*(s_ET_w_o+s_ET_w_i)*(1/24)*up_RadSpec!V12*up_RadSpec!Q12*1</f>
        <v>0.14028775593491805</v>
      </c>
      <c r="U12" s="43">
        <f>s_C*s_EF_w*(1/365)*s_ED_com*(s_ET_w_o+s_ET_w_i)*(1/24)*up_RadSpec!W12*up_RadSpec!R12*1</f>
        <v>7.8195507655116833E-2</v>
      </c>
      <c r="V12" s="43">
        <f>s_C*s_EF_w*(1/365)*s_ED_com*(s_ET_w_o+s_ET_w_i)*(1/24)*up_RadSpec!X12*up_RadSpec!S12*1</f>
        <v>0.10784283699001379</v>
      </c>
      <c r="W12" s="43">
        <f>s_C*s_EF_w*(1/365)*s_ED_com*(s_ET_w_o+s_ET_w_i)*(1/24)*up_RadSpec!Y12*up_RadSpec!T12*1</f>
        <v>0.12211303024286947</v>
      </c>
      <c r="X12" s="43">
        <f>s_C*s_EF_w*(1/365)*s_ED_com*(s_ET_w_o+s_ET_w_i)*(1/24)*up_RadSpec!U12*up_RadSpec!P12*1</f>
        <v>4.5297924195310535E-2</v>
      </c>
      <c r="Y12" s="11"/>
      <c r="Z12" s="11"/>
      <c r="AA12" s="11"/>
      <c r="AB12" s="11"/>
      <c r="AC12" s="11"/>
      <c r="AD12" s="22">
        <f>IFERROR(s_TR/(up_RadSpec!G12*s_EF_w*s_ED_com*(s_ET_w_o+s_ET_w_i)*(1/24)*s_IRA_w),".")</f>
        <v>2.9090909090909094E-10</v>
      </c>
      <c r="AE12" s="22">
        <f>IFERROR(s_TR/(up_RadSpec!J12*s_EF_w*(1/365)*s_ED_com*(s_ET_w_o+s_ET_w_i)*(1/24)*s_GSF_a),".")</f>
        <v>6.3709090909090908E-6</v>
      </c>
      <c r="AF12" s="22">
        <f t="shared" si="6"/>
        <v>2.9089580799548386E-10</v>
      </c>
      <c r="AG12" s="43">
        <f t="shared" si="4"/>
        <v>34375</v>
      </c>
      <c r="AH12" s="43">
        <f t="shared" si="5"/>
        <v>1.5696347031963471</v>
      </c>
      <c r="AI12" s="10"/>
      <c r="AJ12" s="10"/>
      <c r="AK12" s="10"/>
    </row>
    <row r="13" spans="1:37" x14ac:dyDescent="0.25">
      <c r="A13" s="23" t="s">
        <v>23</v>
      </c>
      <c r="B13" s="24" t="s">
        <v>289</v>
      </c>
      <c r="C13" s="2"/>
      <c r="D13" s="22">
        <f>IFERROR((s_TR/(up_RadSpec!I13*s_EF_w*s_ED_com*s_IRS_w*(1/1000)))*1,".")</f>
        <v>7.272727272727274E-8</v>
      </c>
      <c r="E13" s="22">
        <f>IFERROR(IF(A13="H-3",(s_TR/(up_RadSpec!G13*s_EF_w*s_ED_com*(s_ET_w_o+s_ET_w_i)*(1/24)*s_IRA_w*(1/17)*1000))*1,(s_TR/(up_RadSpec!G13*s_EF_w*s_ED_com*(s_ET_w_o+s_ET_w_i)*(1/24)*s_IRA_w*(1/s_PEF_wind)*1000))*1),".")</f>
        <v>9.0250320889537203E-5</v>
      </c>
      <c r="F13" s="22">
        <f>IFERROR((s_TR/(up_RadSpec!F13*s_EF_w*(1/365)*s_ED_com*up_RadSpec!Q13*(s_ET_w_o+s_ET_w_i)*(1/24)*up_RadSpec!V13))*1,".")</f>
        <v>5.4790618044855369E-4</v>
      </c>
      <c r="G13" s="22">
        <f t="shared" si="0"/>
        <v>7.2659076645896279E-8</v>
      </c>
      <c r="H13" s="43">
        <f t="shared" si="1"/>
        <v>137.5</v>
      </c>
      <c r="I13" s="43">
        <f t="shared" si="2"/>
        <v>0.11080293013295324</v>
      </c>
      <c r="J13" s="43">
        <f>s_C*s_EF_w*(1/365)*s_ED_com*(s_ET_w_o+s_ET_w_i)*(1/24)*up_RadSpec!V13*up_RadSpec!Q13*1</f>
        <v>1.8251299870012987E-2</v>
      </c>
      <c r="K13" s="4"/>
      <c r="L13" s="4"/>
      <c r="M13" s="4"/>
      <c r="N13" s="4"/>
      <c r="O13" s="22">
        <f>IFERROR((s_TR/(up_RadSpec!F13*s_EF_w*(1/365)*s_ED_com*up_RadSpec!Q13*(s_ET_w_o+s_ET_w_i)*(1/24)*up_RadSpec!V13))*1,".")</f>
        <v>5.4790618044855369E-4</v>
      </c>
      <c r="P13" s="22">
        <f>IFERROR((s_TR/(up_RadSpec!M13*s_EF_w*(1/365)*s_ED_com*up_RadSpec!R13*(s_ET_w_o+s_ET_w_i)*(1/24)*up_RadSpec!W13))*1,".")</f>
        <v>1.1948632373213381E-3</v>
      </c>
      <c r="Q13" s="22">
        <f>IFERROR((s_TR/(up_RadSpec!N13*s_EF_w*(1/365)*s_ED_com*up_RadSpec!S13*(s_ET_w_o+s_ET_w_i)*(1/24)*up_RadSpec!X13))*1,".")</f>
        <v>7.0985979194934407E-4</v>
      </c>
      <c r="R13" s="22">
        <f>IFERROR((s_TR/(up_RadSpec!O13*s_EF_w*(1/365)*s_ED_com*up_RadSpec!T13*(s_ET_w_o+s_ET_w_i)*(1/24)*up_RadSpec!Y13))*1,".")</f>
        <v>5.8600282168498098E-4</v>
      </c>
      <c r="S13" s="22">
        <f>IFERROR((s_TR/(up_RadSpec!K13*s_EF_w*(1/365)*s_ED_com*up_RadSpec!P13*(s_ET_w_o+s_ET_w_i)*(1/24)*up_RadSpec!U13))*1,".")</f>
        <v>1.1495129870129867E-2</v>
      </c>
      <c r="T13" s="43">
        <f>s_C*s_EF_w*(1/365)*s_ED_com*(s_ET_w_o+s_ET_w_i)*(1/24)*up_RadSpec!V13*up_RadSpec!Q13*1</f>
        <v>1.8251299870012987E-2</v>
      </c>
      <c r="U13" s="43">
        <f>s_C*s_EF_w*(1/365)*s_ED_com*(s_ET_w_o+s_ET_w_i)*(1/24)*up_RadSpec!W13*up_RadSpec!R13*1</f>
        <v>8.3691586515107358E-3</v>
      </c>
      <c r="V13" s="43">
        <f>s_C*s_EF_w*(1/365)*s_ED_com*(s_ET_w_o+s_ET_w_i)*(1/24)*up_RadSpec!X13*up_RadSpec!S13*1</f>
        <v>1.4087288945524058E-2</v>
      </c>
      <c r="W13" s="43">
        <f>s_C*s_EF_w*(1/365)*s_ED_com*(s_ET_w_o+s_ET_w_i)*(1/24)*up_RadSpec!Y13*up_RadSpec!T13*1</f>
        <v>1.7064764246776495E-2</v>
      </c>
      <c r="X13" s="43">
        <f>s_C*s_EF_w*(1/365)*s_ED_com*(s_ET_w_o+s_ET_w_i)*(1/24)*up_RadSpec!U13*up_RadSpec!P13*1</f>
        <v>8.6993362519418205E-4</v>
      </c>
      <c r="Y13" s="11"/>
      <c r="Z13" s="11"/>
      <c r="AA13" s="11"/>
      <c r="AB13" s="11"/>
      <c r="AC13" s="11"/>
      <c r="AD13" s="22">
        <f>IFERROR(s_TR/(up_RadSpec!G13*s_EF_w*s_ED_com*(s_ET_w_o+s_ET_w_i)*(1/24)*s_IRA_w),".")</f>
        <v>2.9090909090909094E-10</v>
      </c>
      <c r="AE13" s="22">
        <f>IFERROR(s_TR/(up_RadSpec!J13*s_EF_w*(1/365)*s_ED_com*(s_ET_w_o+s_ET_w_i)*(1/24)*s_GSF_a),".")</f>
        <v>6.3709090909090908E-6</v>
      </c>
      <c r="AF13" s="22">
        <f t="shared" si="6"/>
        <v>2.9089580799548386E-10</v>
      </c>
      <c r="AG13" s="43">
        <f t="shared" si="4"/>
        <v>34375</v>
      </c>
      <c r="AH13" s="43">
        <f t="shared" si="5"/>
        <v>1.5696347031963471</v>
      </c>
      <c r="AI13" s="10"/>
      <c r="AJ13" s="10"/>
      <c r="AK13" s="10"/>
    </row>
    <row r="14" spans="1:37" x14ac:dyDescent="0.25">
      <c r="A14" s="23" t="s">
        <v>24</v>
      </c>
      <c r="B14" s="24" t="s">
        <v>289</v>
      </c>
      <c r="C14" s="2"/>
      <c r="D14" s="22">
        <f>IFERROR((s_TR/(up_RadSpec!I14*s_EF_w*s_ED_com*s_IRS_w*(1/1000)))*1,".")</f>
        <v>7.272727272727274E-8</v>
      </c>
      <c r="E14" s="22">
        <f>IFERROR(IF(A14="H-3",(s_TR/(up_RadSpec!G14*s_EF_w*s_ED_com*(s_ET_w_o+s_ET_w_i)*(1/24)*s_IRA_w*(1/17)*1000))*1,(s_TR/(up_RadSpec!G14*s_EF_w*s_ED_com*(s_ET_w_o+s_ET_w_i)*(1/24)*s_IRA_w*(1/s_PEF_wind)*1000))*1),".")</f>
        <v>9.0250320889537203E-5</v>
      </c>
      <c r="F14" s="22">
        <f>IFERROR((s_TR/(up_RadSpec!F14*s_EF_w*(1/365)*s_ED_com*up_RadSpec!Q14*(s_ET_w_o+s_ET_w_i)*(1/24)*up_RadSpec!V14))*1,".")</f>
        <v>8.2250179434746663E-5</v>
      </c>
      <c r="G14" s="22">
        <f t="shared" si="0"/>
        <v>7.2604566673381434E-8</v>
      </c>
      <c r="H14" s="43">
        <f t="shared" si="1"/>
        <v>137.5</v>
      </c>
      <c r="I14" s="43">
        <f t="shared" si="2"/>
        <v>0.11080293013295324</v>
      </c>
      <c r="J14" s="43">
        <f>s_C*s_EF_w*(1/365)*s_ED_com*(s_ET_w_o+s_ET_w_i)*(1/24)*up_RadSpec!V14*up_RadSpec!Q14*1</f>
        <v>0.12158028187565867</v>
      </c>
      <c r="K14" s="4"/>
      <c r="L14" s="4"/>
      <c r="M14" s="4"/>
      <c r="N14" s="4"/>
      <c r="O14" s="22">
        <f>IFERROR((s_TR/(up_RadSpec!F14*s_EF_w*(1/365)*s_ED_com*up_RadSpec!Q14*(s_ET_w_o+s_ET_w_i)*(1/24)*up_RadSpec!V14))*1,".")</f>
        <v>8.2250179434746663E-5</v>
      </c>
      <c r="P14" s="22">
        <f>IFERROR((s_TR/(up_RadSpec!M14*s_EF_w*(1/365)*s_ED_com*up_RadSpec!R14*(s_ET_w_o+s_ET_w_i)*(1/24)*up_RadSpec!W14))*1,".")</f>
        <v>1.4937483186060481E-4</v>
      </c>
      <c r="Q14" s="22">
        <f>IFERROR((s_TR/(up_RadSpec!N14*s_EF_w*(1/365)*s_ED_com*up_RadSpec!S14*(s_ET_w_o+s_ET_w_i)*(1/24)*up_RadSpec!X14))*1,".")</f>
        <v>1.1043933455751371E-4</v>
      </c>
      <c r="R14" s="22">
        <f>IFERROR((s_TR/(up_RadSpec!O14*s_EF_w*(1/365)*s_ED_com*up_RadSpec!T14*(s_ET_w_o+s_ET_w_i)*(1/24)*up_RadSpec!Y14))*1,".")</f>
        <v>9.6777614763226299E-5</v>
      </c>
      <c r="S14" s="22">
        <f>IFERROR((s_TR/(up_RadSpec!K14*s_EF_w*(1/365)*s_ED_com*up_RadSpec!P14*(s_ET_w_o+s_ET_w_i)*(1/24)*up_RadSpec!U14))*1,".")</f>
        <v>4.1679600886917979E-4</v>
      </c>
      <c r="T14" s="43">
        <f>s_C*s_EF_w*(1/365)*s_ED_com*(s_ET_w_o+s_ET_w_i)*(1/24)*up_RadSpec!V14*up_RadSpec!Q14*1</f>
        <v>0.12158028187565867</v>
      </c>
      <c r="U14" s="43">
        <f>s_C*s_EF_w*(1/365)*s_ED_com*(s_ET_w_o+s_ET_w_i)*(1/24)*up_RadSpec!W14*up_RadSpec!R14*1</f>
        <v>6.6945682049917951E-2</v>
      </c>
      <c r="V14" s="43">
        <f>s_C*s_EF_w*(1/365)*s_ED_com*(s_ET_w_o+s_ET_w_i)*(1/24)*up_RadSpec!X14*up_RadSpec!S14*1</f>
        <v>9.0547448878300518E-2</v>
      </c>
      <c r="W14" s="43">
        <f>s_C*s_EF_w*(1/365)*s_ED_com*(s_ET_w_o+s_ET_w_i)*(1/24)*up_RadSpec!Y14*up_RadSpec!T14*1</f>
        <v>0.1033296803652968</v>
      </c>
      <c r="X14" s="43">
        <f>s_C*s_EF_w*(1/365)*s_ED_com*(s_ET_w_o+s_ET_w_i)*(1/24)*up_RadSpec!U14*up_RadSpec!P14*1</f>
        <v>2.3992552201090568E-2</v>
      </c>
      <c r="Y14" s="11"/>
      <c r="Z14" s="11"/>
      <c r="AA14" s="11"/>
      <c r="AB14" s="11"/>
      <c r="AC14" s="11"/>
      <c r="AD14" s="22">
        <f>IFERROR(s_TR/(up_RadSpec!G14*s_EF_w*s_ED_com*(s_ET_w_o+s_ET_w_i)*(1/24)*s_IRA_w),".")</f>
        <v>2.9090909090909094E-10</v>
      </c>
      <c r="AE14" s="22">
        <f>IFERROR(s_TR/(up_RadSpec!J14*s_EF_w*(1/365)*s_ED_com*(s_ET_w_o+s_ET_w_i)*(1/24)*s_GSF_a),".")</f>
        <v>6.3709090909090908E-6</v>
      </c>
      <c r="AF14" s="22">
        <f t="shared" si="6"/>
        <v>2.9089580799548386E-10</v>
      </c>
      <c r="AG14" s="43">
        <f t="shared" si="4"/>
        <v>34375</v>
      </c>
      <c r="AH14" s="43">
        <f t="shared" si="5"/>
        <v>1.5696347031963471</v>
      </c>
      <c r="AI14" s="10"/>
      <c r="AJ14" s="10"/>
      <c r="AK14" s="10"/>
    </row>
    <row r="15" spans="1:37" x14ac:dyDescent="0.25">
      <c r="A15" s="23" t="s">
        <v>25</v>
      </c>
      <c r="B15" s="24" t="s">
        <v>289</v>
      </c>
      <c r="C15" s="2"/>
      <c r="D15" s="22">
        <f>IFERROR((s_TR/(up_RadSpec!I15*s_EF_w*s_ED_com*s_IRS_w*(1/1000)))*1,".")</f>
        <v>7.272727272727274E-8</v>
      </c>
      <c r="E15" s="22">
        <f>IFERROR(IF(A15="H-3",(s_TR/(up_RadSpec!G15*s_EF_w*s_ED_com*(s_ET_w_o+s_ET_w_i)*(1/24)*s_IRA_w*(1/17)*1000))*1,(s_TR/(up_RadSpec!G15*s_EF_w*s_ED_com*(s_ET_w_o+s_ET_w_i)*(1/24)*s_IRA_w*(1/s_PEF_wind)*1000))*1),".")</f>
        <v>9.0250320889537203E-5</v>
      </c>
      <c r="F15" s="22" t="str">
        <f>IFERROR((s_TR/(up_RadSpec!F15*s_EF_w*(1/365)*s_ED_com*up_RadSpec!Q15*(s_ET_w_o+s_ET_w_i)*(1/24)*up_RadSpec!V15))*1,".")</f>
        <v>.</v>
      </c>
      <c r="G15" s="22">
        <f t="shared" si="0"/>
        <v>7.26687134081846E-8</v>
      </c>
      <c r="H15" s="43">
        <f t="shared" si="1"/>
        <v>137.5</v>
      </c>
      <c r="I15" s="43">
        <f t="shared" si="2"/>
        <v>0.11080293013295324</v>
      </c>
      <c r="J15" s="43">
        <f>s_C*s_EF_w*(1/365)*s_ED_com*(s_ET_w_o+s_ET_w_i)*(1/24)*up_RadSpec!V15*up_RadSpec!Q15*1</f>
        <v>0</v>
      </c>
      <c r="K15" s="4"/>
      <c r="L15" s="4"/>
      <c r="M15" s="4"/>
      <c r="N15" s="4"/>
      <c r="O15" s="22" t="str">
        <f>IFERROR((s_TR/(up_RadSpec!F15*s_EF_w*(1/365)*s_ED_com*up_RadSpec!Q15*(s_ET_w_o+s_ET_w_i)*(1/24)*up_RadSpec!V15))*1,".")</f>
        <v>.</v>
      </c>
      <c r="P15" s="22" t="str">
        <f>IFERROR((s_TR/(up_RadSpec!M15*s_EF_w*(1/365)*s_ED_com*up_RadSpec!R15*(s_ET_w_o+s_ET_w_i)*(1/24)*up_RadSpec!W15))*1,".")</f>
        <v>.</v>
      </c>
      <c r="Q15" s="22" t="str">
        <f>IFERROR((s_TR/(up_RadSpec!N15*s_EF_w*(1/365)*s_ED_com*up_RadSpec!S15*(s_ET_w_o+s_ET_w_i)*(1/24)*up_RadSpec!X15))*1,".")</f>
        <v>.</v>
      </c>
      <c r="R15" s="22" t="str">
        <f>IFERROR((s_TR/(up_RadSpec!O15*s_EF_w*(1/365)*s_ED_com*up_RadSpec!T15*(s_ET_w_o+s_ET_w_i)*(1/24)*up_RadSpec!Y15))*1,".")</f>
        <v>.</v>
      </c>
      <c r="S15" s="22" t="str">
        <f>IFERROR((s_TR/(up_RadSpec!K15*s_EF_w*(1/365)*s_ED_com*up_RadSpec!P15*(s_ET_w_o+s_ET_w_i)*(1/24)*up_RadSpec!U15))*1,".")</f>
        <v>.</v>
      </c>
      <c r="T15" s="43">
        <f>s_C*s_EF_w*(1/365)*s_ED_com*(s_ET_w_o+s_ET_w_i)*(1/24)*up_RadSpec!V15*up_RadSpec!Q15*1</f>
        <v>0</v>
      </c>
      <c r="U15" s="43">
        <f>s_C*s_EF_w*(1/365)*s_ED_com*(s_ET_w_o+s_ET_w_i)*(1/24)*up_RadSpec!W15*up_RadSpec!R15*1</f>
        <v>0</v>
      </c>
      <c r="V15" s="43">
        <f>s_C*s_EF_w*(1/365)*s_ED_com*(s_ET_w_o+s_ET_w_i)*(1/24)*up_RadSpec!X15*up_RadSpec!S15*1</f>
        <v>0</v>
      </c>
      <c r="W15" s="43">
        <f>s_C*s_EF_w*(1/365)*s_ED_com*(s_ET_w_o+s_ET_w_i)*(1/24)*up_RadSpec!Y15*up_RadSpec!T15*1</f>
        <v>0</v>
      </c>
      <c r="X15" s="43">
        <f>s_C*s_EF_w*(1/365)*s_ED_com*(s_ET_w_o+s_ET_w_i)*(1/24)*up_RadSpec!U15*up_RadSpec!P15*1</f>
        <v>0</v>
      </c>
      <c r="Y15" s="11"/>
      <c r="Z15" s="11"/>
      <c r="AA15" s="11"/>
      <c r="AB15" s="11"/>
      <c r="AC15" s="11"/>
      <c r="AD15" s="22">
        <f>IFERROR(s_TR/(up_RadSpec!G15*s_EF_w*s_ED_com*(s_ET_w_o+s_ET_w_i)*(1/24)*s_IRA_w),".")</f>
        <v>2.9090909090909094E-10</v>
      </c>
      <c r="AE15" s="22">
        <f>IFERROR(s_TR/(up_RadSpec!J15*s_EF_w*(1/365)*s_ED_com*(s_ET_w_o+s_ET_w_i)*(1/24)*s_GSF_a),".")</f>
        <v>6.3709090909090908E-6</v>
      </c>
      <c r="AF15" s="22">
        <f t="shared" si="6"/>
        <v>2.9089580799548386E-10</v>
      </c>
      <c r="AG15" s="43">
        <f t="shared" si="4"/>
        <v>34375</v>
      </c>
      <c r="AH15" s="43">
        <f t="shared" si="5"/>
        <v>1.5696347031963471</v>
      </c>
      <c r="AI15" s="10"/>
      <c r="AJ15" s="10"/>
      <c r="AK15" s="10"/>
    </row>
    <row r="16" spans="1:37" x14ac:dyDescent="0.25">
      <c r="A16" s="23" t="s">
        <v>26</v>
      </c>
      <c r="B16" s="24" t="s">
        <v>289</v>
      </c>
      <c r="C16" s="109"/>
      <c r="D16" s="22">
        <f>IFERROR((s_TR/(up_RadSpec!I16*s_EF_w*s_ED_com*s_IRS_w*(1/1000)))*1,".")</f>
        <v>7.272727272727274E-8</v>
      </c>
      <c r="E16" s="22">
        <f>IFERROR(IF(A16="H-3",(s_TR/(up_RadSpec!G16*s_EF_w*s_ED_com*(s_ET_w_o+s_ET_w_i)*(1/24)*s_IRA_w*(1/17)*1000))*1,(s_TR/(up_RadSpec!G16*s_EF_w*s_ED_com*(s_ET_w_o+s_ET_w_i)*(1/24)*s_IRA_w*(1/s_PEF_wind)*1000))*1),".")</f>
        <v>9.0250320889537203E-5</v>
      </c>
      <c r="F16" s="22">
        <f>IFERROR((s_TR/(up_RadSpec!F16*s_EF_w*(1/365)*s_ED_com*up_RadSpec!Q16*(s_ET_w_o+s_ET_w_i)*(1/24)*up_RadSpec!V16))*1,".")</f>
        <v>0.76494620302510574</v>
      </c>
      <c r="G16" s="22">
        <f t="shared" si="0"/>
        <v>7.26687065047692E-8</v>
      </c>
      <c r="H16" s="43">
        <f t="shared" si="1"/>
        <v>137.5</v>
      </c>
      <c r="I16" s="43">
        <f t="shared" si="2"/>
        <v>0.11080293013295324</v>
      </c>
      <c r="J16" s="43">
        <f>s_C*s_EF_w*(1/365)*s_ED_com*(s_ET_w_o+s_ET_w_i)*(1/24)*up_RadSpec!V16*up_RadSpec!Q16*1</f>
        <v>1.3072814742335285E-5</v>
      </c>
      <c r="K16" s="4"/>
      <c r="L16" s="4"/>
      <c r="M16" s="4"/>
      <c r="N16" s="4"/>
      <c r="O16" s="22">
        <f>IFERROR((s_TR/(up_RadSpec!F16*s_EF_w*(1/365)*s_ED_com*up_RadSpec!Q16*(s_ET_w_o+s_ET_w_i)*(1/24)*up_RadSpec!V16))*1,".")</f>
        <v>0.76494620302510574</v>
      </c>
      <c r="P16" s="22">
        <f>IFERROR((s_TR/(up_RadSpec!M16*s_EF_w*(1/365)*s_ED_com*up_RadSpec!R16*(s_ET_w_o+s_ET_w_i)*(1/24)*up_RadSpec!W16))*1,".")</f>
        <v>1.3623429416112349</v>
      </c>
      <c r="Q16" s="22">
        <f>IFERROR((s_TR/(up_RadSpec!N16*s_EF_w*(1/365)*s_ED_com*up_RadSpec!S16*(s_ET_w_o+s_ET_w_i)*(1/24)*up_RadSpec!X16))*1,".")</f>
        <v>0.81841380561977772</v>
      </c>
      <c r="R16" s="22">
        <f>IFERROR((s_TR/(up_RadSpec!O16*s_EF_w*(1/365)*s_ED_com*up_RadSpec!T16*(s_ET_w_o+s_ET_w_i)*(1/24)*up_RadSpec!Y16))*1,".")</f>
        <v>0.82264249380461774</v>
      </c>
      <c r="S16" s="22">
        <f>IFERROR((s_TR/(up_RadSpec!K16*s_EF_w*(1/365)*s_ED_com*up_RadSpec!P16*(s_ET_w_o+s_ET_w_i)*(1/24)*up_RadSpec!U16))*1,".")</f>
        <v>31.854545454545459</v>
      </c>
      <c r="T16" s="43">
        <f>s_C*s_EF_w*(1/365)*s_ED_com*(s_ET_w_o+s_ET_w_i)*(1/24)*up_RadSpec!V16*up_RadSpec!Q16*1</f>
        <v>1.3072814742335285E-5</v>
      </c>
      <c r="U16" s="43">
        <f>s_C*s_EF_w*(1/365)*s_ED_com*(s_ET_w_o+s_ET_w_i)*(1/24)*up_RadSpec!W16*up_RadSpec!R16*1</f>
        <v>7.3402956734029545E-6</v>
      </c>
      <c r="V16" s="43">
        <f>s_C*s_EF_w*(1/365)*s_ED_com*(s_ET_w_o+s_ET_w_i)*(1/24)*up_RadSpec!X16*up_RadSpec!S16*1</f>
        <v>1.2218757713192641E-5</v>
      </c>
      <c r="W16" s="43">
        <f>s_C*s_EF_w*(1/365)*s_ED_com*(s_ET_w_o+s_ET_w_i)*(1/24)*up_RadSpec!Y16*up_RadSpec!T16*1</f>
        <v>1.2155948756976148E-5</v>
      </c>
      <c r="X16" s="43">
        <f>s_C*s_EF_w*(1/365)*s_ED_com*(s_ET_w_o+s_ET_w_i)*(1/24)*up_RadSpec!U16*up_RadSpec!P16*1</f>
        <v>3.1392694063926939E-7</v>
      </c>
      <c r="Y16" s="11"/>
      <c r="Z16" s="11"/>
      <c r="AA16" s="11"/>
      <c r="AB16" s="11"/>
      <c r="AC16" s="11"/>
      <c r="AD16" s="22">
        <f>IFERROR(s_TR/(up_RadSpec!G16*s_EF_w*s_ED_com*(s_ET_w_o+s_ET_w_i)*(1/24)*s_IRA_w),".")</f>
        <v>2.9090909090909094E-10</v>
      </c>
      <c r="AE16" s="22">
        <f>IFERROR(s_TR/(up_RadSpec!J16*s_EF_w*(1/365)*s_ED_com*(s_ET_w_o+s_ET_w_i)*(1/24)*s_GSF_a),".")</f>
        <v>6.3709090909090908E-6</v>
      </c>
      <c r="AF16" s="22">
        <f t="shared" si="6"/>
        <v>2.9089580799548386E-10</v>
      </c>
      <c r="AG16" s="43">
        <f t="shared" si="4"/>
        <v>34375</v>
      </c>
      <c r="AH16" s="43">
        <f t="shared" si="5"/>
        <v>1.5696347031963471</v>
      </c>
      <c r="AI16" s="10"/>
      <c r="AJ16" s="10"/>
      <c r="AK16" s="10"/>
    </row>
    <row r="17" spans="1:37" x14ac:dyDescent="0.25">
      <c r="A17" s="23" t="s">
        <v>27</v>
      </c>
      <c r="B17" s="24" t="s">
        <v>289</v>
      </c>
      <c r="C17" s="109"/>
      <c r="D17" s="22">
        <f>IFERROR((s_TR/(up_RadSpec!I17*s_EF_w*s_ED_com*s_IRS_w*(1/1000)))*1,".")</f>
        <v>7.272727272727274E-8</v>
      </c>
      <c r="E17" s="22">
        <f>IFERROR(IF(A17="H-3",(s_TR/(up_RadSpec!G17*s_EF_w*s_ED_com*(s_ET_w_o+s_ET_w_i)*(1/24)*s_IRA_w*(1/17)*1000))*1,(s_TR/(up_RadSpec!G17*s_EF_w*s_ED_com*(s_ET_w_o+s_ET_w_i)*(1/24)*s_IRA_w*(1/s_PEF_wind)*1000))*1),".")</f>
        <v>9.0250320889537203E-5</v>
      </c>
      <c r="F17" s="22">
        <f>IFERROR((s_TR/(up_RadSpec!F17*s_EF_w*(1/365)*s_ED_com*up_RadSpec!Q17*(s_ET_w_o+s_ET_w_i)*(1/24)*up_RadSpec!V17))*1,".")</f>
        <v>7.032821723730812E-5</v>
      </c>
      <c r="G17" s="22">
        <f t="shared" si="0"/>
        <v>7.2593703813673285E-8</v>
      </c>
      <c r="H17" s="43">
        <f t="shared" si="1"/>
        <v>137.5</v>
      </c>
      <c r="I17" s="43">
        <f t="shared" si="2"/>
        <v>0.11080293013295324</v>
      </c>
      <c r="J17" s="43">
        <f>s_C*s_EF_w*(1/365)*s_ED_com*(s_ET_w_o+s_ET_w_i)*(1/24)*up_RadSpec!V17*up_RadSpec!Q17*1</f>
        <v>0.14219043781896329</v>
      </c>
      <c r="K17" s="4"/>
      <c r="L17" s="4"/>
      <c r="M17" s="4"/>
      <c r="N17" s="4"/>
      <c r="O17" s="22">
        <f>IFERROR((s_TR/(up_RadSpec!F17*s_EF_w*(1/365)*s_ED_com*up_RadSpec!Q17*(s_ET_w_o+s_ET_w_i)*(1/24)*up_RadSpec!V17))*1,".")</f>
        <v>7.032821723730812E-5</v>
      </c>
      <c r="P17" s="22">
        <f>IFERROR((s_TR/(up_RadSpec!M17*s_EF_w*(1/365)*s_ED_com*up_RadSpec!R17*(s_ET_w_o+s_ET_w_i)*(1/24)*up_RadSpec!W17))*1,".")</f>
        <v>1.2291326763688574E-4</v>
      </c>
      <c r="Q17" s="22">
        <f>IFERROR((s_TR/(up_RadSpec!N17*s_EF_w*(1/365)*s_ED_com*up_RadSpec!S17*(s_ET_w_o+s_ET_w_i)*(1/24)*up_RadSpec!X17))*1,".")</f>
        <v>9.2604629075217329E-5</v>
      </c>
      <c r="R17" s="22">
        <f>IFERROR((s_TR/(up_RadSpec!O17*s_EF_w*(1/365)*s_ED_com*up_RadSpec!T17*(s_ET_w_o+s_ET_w_i)*(1/24)*up_RadSpec!Y17))*1,".")</f>
        <v>8.2346950765735754E-5</v>
      </c>
      <c r="S17" s="22">
        <f>IFERROR((s_TR/(up_RadSpec!K17*s_EF_w*(1/365)*s_ED_com*up_RadSpec!P17*(s_ET_w_o+s_ET_w_i)*(1/24)*up_RadSpec!U17))*1,".")</f>
        <v>2.3551854998583974E-4</v>
      </c>
      <c r="T17" s="43">
        <f>s_C*s_EF_w*(1/365)*s_ED_com*(s_ET_w_o+s_ET_w_i)*(1/24)*up_RadSpec!V17*up_RadSpec!Q17*1</f>
        <v>0.14219043781896329</v>
      </c>
      <c r="U17" s="43">
        <f>s_C*s_EF_w*(1/365)*s_ED_com*(s_ET_w_o+s_ET_w_i)*(1/24)*up_RadSpec!W17*up_RadSpec!R17*1</f>
        <v>8.1358182011256233E-2</v>
      </c>
      <c r="V17" s="43">
        <f>s_C*s_EF_w*(1/365)*s_ED_com*(s_ET_w_o+s_ET_w_i)*(1/24)*up_RadSpec!X17*up_RadSpec!S17*1</f>
        <v>0.10798596247146118</v>
      </c>
      <c r="W17" s="43">
        <f>s_C*s_EF_w*(1/365)*s_ED_com*(s_ET_w_o+s_ET_w_i)*(1/24)*up_RadSpec!Y17*up_RadSpec!T17*1</f>
        <v>0.1214374048706241</v>
      </c>
      <c r="X17" s="43">
        <f>s_C*s_EF_w*(1/365)*s_ED_com*(s_ET_w_o+s_ET_w_i)*(1/24)*up_RadSpec!U17*up_RadSpec!P17*1</f>
        <v>4.2459500538710178E-2</v>
      </c>
      <c r="Y17" s="11"/>
      <c r="Z17" s="11"/>
      <c r="AA17" s="11"/>
      <c r="AB17" s="11"/>
      <c r="AC17" s="11"/>
      <c r="AD17" s="22">
        <f>IFERROR(s_TR/(up_RadSpec!G17*s_EF_w*s_ED_com*(s_ET_w_o+s_ET_w_i)*(1/24)*s_IRA_w),".")</f>
        <v>2.9090909090909094E-10</v>
      </c>
      <c r="AE17" s="22">
        <f>IFERROR(s_TR/(up_RadSpec!J17*s_EF_w*(1/365)*s_ED_com*(s_ET_w_o+s_ET_w_i)*(1/24)*s_GSF_a),".")</f>
        <v>6.3709090909090908E-6</v>
      </c>
      <c r="AF17" s="22">
        <f t="shared" si="6"/>
        <v>2.9089580799548386E-10</v>
      </c>
      <c r="AG17" s="43">
        <f t="shared" si="4"/>
        <v>34375</v>
      </c>
      <c r="AH17" s="43">
        <f t="shared" si="5"/>
        <v>1.5696347031963471</v>
      </c>
      <c r="AI17" s="10"/>
      <c r="AJ17" s="10"/>
      <c r="AK17" s="10"/>
    </row>
    <row r="18" spans="1:37" x14ac:dyDescent="0.25">
      <c r="A18" s="23" t="s">
        <v>28</v>
      </c>
      <c r="B18" s="24" t="s">
        <v>289</v>
      </c>
      <c r="C18" s="109"/>
      <c r="D18" s="22">
        <f>IFERROR((s_TR/(up_RadSpec!I18*s_EF_w*s_ED_com*s_IRS_w*(1/1000)))*1,".")</f>
        <v>7.272727272727274E-8</v>
      </c>
      <c r="E18" s="22">
        <f>IFERROR(IF(A18="H-3",(s_TR/(up_RadSpec!G18*s_EF_w*s_ED_com*(s_ET_w_o+s_ET_w_i)*(1/24)*s_IRA_w*(1/17)*1000))*1,(s_TR/(up_RadSpec!G18*s_EF_w*s_ED_com*(s_ET_w_o+s_ET_w_i)*(1/24)*s_IRA_w*(1/s_PEF_wind)*1000))*1),".")</f>
        <v>9.0250320889537203E-5</v>
      </c>
      <c r="F18" s="22">
        <f>IFERROR((s_TR/(up_RadSpec!F18*s_EF_w*(1/365)*s_ED_com*up_RadSpec!Q18*(s_ET_w_o+s_ET_w_i)*(1/24)*up_RadSpec!V18))*1,".")</f>
        <v>3.5819104981705617E-5</v>
      </c>
      <c r="G18" s="22">
        <f t="shared" si="0"/>
        <v>7.2521583819291654E-8</v>
      </c>
      <c r="H18" s="43">
        <f t="shared" si="1"/>
        <v>137.5</v>
      </c>
      <c r="I18" s="43">
        <f t="shared" si="2"/>
        <v>0.11080293013295324</v>
      </c>
      <c r="J18" s="43">
        <f>s_C*s_EF_w*(1/365)*s_ED_com*(s_ET_w_o+s_ET_w_i)*(1/24)*up_RadSpec!V18*up_RadSpec!Q18*1</f>
        <v>0.27918062176895375</v>
      </c>
      <c r="K18" s="4"/>
      <c r="L18" s="4"/>
      <c r="M18" s="4"/>
      <c r="N18" s="4"/>
      <c r="O18" s="22">
        <f>IFERROR((s_TR/(up_RadSpec!F18*s_EF_w*(1/365)*s_ED_com*up_RadSpec!Q18*(s_ET_w_o+s_ET_w_i)*(1/24)*up_RadSpec!V18))*1,".")</f>
        <v>3.5819104981705617E-5</v>
      </c>
      <c r="P18" s="22">
        <f>IFERROR((s_TR/(up_RadSpec!M18*s_EF_w*(1/365)*s_ED_com*up_RadSpec!R18*(s_ET_w_o+s_ET_w_i)*(1/24)*up_RadSpec!W18))*1,".")</f>
        <v>7.0875611640484193E-5</v>
      </c>
      <c r="Q18" s="22">
        <f>IFERROR((s_TR/(up_RadSpec!N18*s_EF_w*(1/365)*s_ED_com*up_RadSpec!S18*(s_ET_w_o+s_ET_w_i)*(1/24)*up_RadSpec!X18))*1,".")</f>
        <v>4.9633877043552499E-5</v>
      </c>
      <c r="R18" s="22">
        <f>IFERROR((s_TR/(up_RadSpec!O18*s_EF_w*(1/365)*s_ED_com*up_RadSpec!T18*(s_ET_w_o+s_ET_w_i)*(1/24)*up_RadSpec!Y18))*1,".")</f>
        <v>4.1122563526890526E-5</v>
      </c>
      <c r="S18" s="22">
        <f>IFERROR((s_TR/(up_RadSpec!K18*s_EF_w*(1/365)*s_ED_com*up_RadSpec!P18*(s_ET_w_o+s_ET_w_i)*(1/24)*up_RadSpec!U18))*1,".")</f>
        <v>1.2047552447552447E-4</v>
      </c>
      <c r="T18" s="43">
        <f>s_C*s_EF_w*(1/365)*s_ED_com*(s_ET_w_o+s_ET_w_i)*(1/24)*up_RadSpec!V18*up_RadSpec!Q18*1</f>
        <v>0.27918062176895375</v>
      </c>
      <c r="U18" s="43">
        <f>s_C*s_EF_w*(1/365)*s_ED_com*(s_ET_w_o+s_ET_w_i)*(1/24)*up_RadSpec!W18*up_RadSpec!R18*1</f>
        <v>0.14109225682206314</v>
      </c>
      <c r="V18" s="43">
        <f>s_C*s_EF_w*(1/365)*s_ED_com*(s_ET_w_o+s_ET_w_i)*(1/24)*up_RadSpec!X18*up_RadSpec!S18*1</f>
        <v>0.20147529461027694</v>
      </c>
      <c r="W18" s="43">
        <f>s_C*s_EF_w*(1/365)*s_ED_com*(s_ET_w_o+s_ET_w_i)*(1/24)*up_RadSpec!Y18*up_RadSpec!T18*1</f>
        <v>0.24317550129045062</v>
      </c>
      <c r="X18" s="43">
        <f>s_C*s_EF_w*(1/365)*s_ED_com*(s_ET_w_o+s_ET_w_i)*(1/24)*up_RadSpec!U18*up_RadSpec!P18*1</f>
        <v>8.3004411423264479E-2</v>
      </c>
      <c r="Y18" s="11"/>
      <c r="Z18" s="11"/>
      <c r="AA18" s="11"/>
      <c r="AB18" s="11"/>
      <c r="AC18" s="11"/>
      <c r="AD18" s="22">
        <f>IFERROR(s_TR/(up_RadSpec!G18*s_EF_w*s_ED_com*(s_ET_w_o+s_ET_w_i)*(1/24)*s_IRA_w),".")</f>
        <v>2.9090909090909094E-10</v>
      </c>
      <c r="AE18" s="22">
        <f>IFERROR(s_TR/(up_RadSpec!J18*s_EF_w*(1/365)*s_ED_com*(s_ET_w_o+s_ET_w_i)*(1/24)*s_GSF_a),".")</f>
        <v>6.3709090909090908E-6</v>
      </c>
      <c r="AF18" s="22">
        <f t="shared" si="6"/>
        <v>2.9089580799548386E-10</v>
      </c>
      <c r="AG18" s="43">
        <f t="shared" si="4"/>
        <v>34375</v>
      </c>
      <c r="AH18" s="43">
        <f t="shared" si="5"/>
        <v>1.5696347031963471</v>
      </c>
      <c r="AI18" s="10"/>
      <c r="AJ18" s="10"/>
      <c r="AK18" s="10"/>
    </row>
    <row r="19" spans="1:37" x14ac:dyDescent="0.25">
      <c r="A19" s="23" t="s">
        <v>29</v>
      </c>
      <c r="B19" s="24" t="s">
        <v>289</v>
      </c>
      <c r="C19" s="2"/>
      <c r="D19" s="22">
        <f>IFERROR((s_TR/(up_RadSpec!I19*s_EF_w*s_ED_com*s_IRS_w*(1/1000)))*1,".")</f>
        <v>7.272727272727274E-8</v>
      </c>
      <c r="E19" s="22">
        <f>IFERROR(IF(A19="H-3",(s_TR/(up_RadSpec!G19*s_EF_w*s_ED_com*(s_ET_w_o+s_ET_w_i)*(1/24)*s_IRA_w*(1/17)*1000))*1,(s_TR/(up_RadSpec!G19*s_EF_w*s_ED_com*(s_ET_w_o+s_ET_w_i)*(1/24)*s_IRA_w*(1/s_PEF_wind)*1000))*1),".")</f>
        <v>9.0250320889537203E-5</v>
      </c>
      <c r="F19" s="22">
        <f>IFERROR((s_TR/(up_RadSpec!F19*s_EF_w*(1/365)*s_ED_com*up_RadSpec!Q19*(s_ET_w_o+s_ET_w_i)*(1/24)*up_RadSpec!V19))*1,".")</f>
        <v>3.654960303268722E-5</v>
      </c>
      <c r="G19" s="22">
        <f t="shared" si="0"/>
        <v>7.2524518587475153E-8</v>
      </c>
      <c r="H19" s="43">
        <f t="shared" si="1"/>
        <v>137.5</v>
      </c>
      <c r="I19" s="43">
        <f t="shared" si="2"/>
        <v>0.11080293013295324</v>
      </c>
      <c r="J19" s="43">
        <f>s_C*s_EF_w*(1/365)*s_ED_com*(s_ET_w_o+s_ET_w_i)*(1/24)*up_RadSpec!V19*up_RadSpec!Q19*1</f>
        <v>0.27360078277886496</v>
      </c>
      <c r="K19" s="4"/>
      <c r="L19" s="4"/>
      <c r="M19" s="4"/>
      <c r="N19" s="4"/>
      <c r="O19" s="22">
        <f>IFERROR((s_TR/(up_RadSpec!F19*s_EF_w*(1/365)*s_ED_com*up_RadSpec!Q19*(s_ET_w_o+s_ET_w_i)*(1/24)*up_RadSpec!V19))*1,".")</f>
        <v>3.654960303268722E-5</v>
      </c>
      <c r="P19" s="22">
        <f>IFERROR((s_TR/(up_RadSpec!M19*s_EF_w*(1/365)*s_ED_com*up_RadSpec!R19*(s_ET_w_o+s_ET_w_i)*(1/24)*up_RadSpec!W19))*1,".")</f>
        <v>7.2492613769209525E-5</v>
      </c>
      <c r="Q19" s="22">
        <f>IFERROR((s_TR/(up_RadSpec!N19*s_EF_w*(1/365)*s_ED_com*up_RadSpec!S19*(s_ET_w_o+s_ET_w_i)*(1/24)*up_RadSpec!X19))*1,".")</f>
        <v>5.0251823043266919E-5</v>
      </c>
      <c r="R19" s="22">
        <f>IFERROR((s_TR/(up_RadSpec!O19*s_EF_w*(1/365)*s_ED_com*up_RadSpec!T19*(s_ET_w_o+s_ET_w_i)*(1/24)*up_RadSpec!Y19))*1,".")</f>
        <v>4.1970515970515967E-5</v>
      </c>
      <c r="S19" s="22">
        <f>IFERROR((s_TR/(up_RadSpec!K19*s_EF_w*(1/365)*s_ED_com*up_RadSpec!P19*(s_ET_w_o+s_ET_w_i)*(1/24)*up_RadSpec!U19))*1,".")</f>
        <v>1.2483427584651175E-4</v>
      </c>
      <c r="T19" s="43">
        <f>s_C*s_EF_w*(1/365)*s_ED_com*(s_ET_w_o+s_ET_w_i)*(1/24)*up_RadSpec!V19*up_RadSpec!Q19*1</f>
        <v>0.27360078277886496</v>
      </c>
      <c r="U19" s="43">
        <f>s_C*s_EF_w*(1/365)*s_ED_com*(s_ET_w_o+s_ET_w_i)*(1/24)*up_RadSpec!W19*up_RadSpec!R19*1</f>
        <v>0.13794508819665979</v>
      </c>
      <c r="V19" s="43">
        <f>s_C*s_EF_w*(1/365)*s_ED_com*(s_ET_w_o+s_ET_w_i)*(1/24)*up_RadSpec!X19*up_RadSpec!S19*1</f>
        <v>0.1989977555916724</v>
      </c>
      <c r="W19" s="43">
        <f>s_C*s_EF_w*(1/365)*s_ED_com*(s_ET_w_o+s_ET_w_i)*(1/24)*up_RadSpec!Y19*up_RadSpec!T19*1</f>
        <v>0.23826249853647125</v>
      </c>
      <c r="X19" s="43">
        <f>s_C*s_EF_w*(1/365)*s_ED_com*(s_ET_w_o+s_ET_w_i)*(1/24)*up_RadSpec!U19*up_RadSpec!P19*1</f>
        <v>8.0106204263125327E-2</v>
      </c>
      <c r="Y19" s="11"/>
      <c r="Z19" s="11"/>
      <c r="AA19" s="11"/>
      <c r="AB19" s="11"/>
      <c r="AC19" s="11"/>
      <c r="AD19" s="22">
        <f>IFERROR(s_TR/(up_RadSpec!G19*s_EF_w*s_ED_com*(s_ET_w_o+s_ET_w_i)*(1/24)*s_IRA_w),".")</f>
        <v>2.9090909090909094E-10</v>
      </c>
      <c r="AE19" s="22">
        <f>IFERROR(s_TR/(up_RadSpec!J19*s_EF_w*(1/365)*s_ED_com*(s_ET_w_o+s_ET_w_i)*(1/24)*s_GSF_a),".")</f>
        <v>6.3709090909090908E-6</v>
      </c>
      <c r="AF19" s="22">
        <f t="shared" si="6"/>
        <v>2.9089580799548386E-10</v>
      </c>
      <c r="AG19" s="43">
        <f t="shared" si="4"/>
        <v>34375</v>
      </c>
      <c r="AH19" s="43">
        <f t="shared" si="5"/>
        <v>1.5696347031963471</v>
      </c>
      <c r="AI19" s="10"/>
      <c r="AJ19" s="10"/>
      <c r="AK19" s="10"/>
    </row>
    <row r="20" spans="1:37" x14ac:dyDescent="0.25">
      <c r="A20" s="23" t="s">
        <v>30</v>
      </c>
      <c r="B20" s="24" t="s">
        <v>289</v>
      </c>
      <c r="C20" s="109"/>
      <c r="D20" s="22">
        <f>IFERROR((s_TR/(up_RadSpec!I20*s_EF_w*s_ED_com*s_IRS_w*(1/1000)))*1,".")</f>
        <v>7.272727272727274E-8</v>
      </c>
      <c r="E20" s="22">
        <f>IFERROR(IF(A20="H-3",(s_TR/(up_RadSpec!G20*s_EF_w*s_ED_com*(s_ET_w_o+s_ET_w_i)*(1/24)*s_IRA_w*(1/17)*1000))*1,(s_TR/(up_RadSpec!G20*s_EF_w*s_ED_com*(s_ET_w_o+s_ET_w_i)*(1/24)*s_IRA_w*(1/s_PEF_wind)*1000))*1),".")</f>
        <v>9.0250320889537203E-5</v>
      </c>
      <c r="F20" s="22">
        <f>IFERROR((s_TR/(up_RadSpec!F20*s_EF_w*(1/365)*s_ED_com*up_RadSpec!Q20*(s_ET_w_o+s_ET_w_i)*(1/24)*up_RadSpec!V20))*1,".")</f>
        <v>3.5939411562557813E-5</v>
      </c>
      <c r="G20" s="22">
        <f t="shared" si="0"/>
        <v>7.2522075339294002E-8</v>
      </c>
      <c r="H20" s="43">
        <f t="shared" si="1"/>
        <v>137.5</v>
      </c>
      <c r="I20" s="43">
        <f t="shared" si="2"/>
        <v>0.11080293013295324</v>
      </c>
      <c r="J20" s="43">
        <f>s_C*s_EF_w*(1/365)*s_ED_com*(s_ET_w_o+s_ET_w_i)*(1/24)*up_RadSpec!V20*up_RadSpec!Q20*1</f>
        <v>0.27824606929341444</v>
      </c>
      <c r="K20" s="4"/>
      <c r="L20" s="4"/>
      <c r="M20" s="4"/>
      <c r="N20" s="4"/>
      <c r="O20" s="22">
        <f>IFERROR((s_TR/(up_RadSpec!F20*s_EF_w*(1/365)*s_ED_com*up_RadSpec!Q20*(s_ET_w_o+s_ET_w_i)*(1/24)*up_RadSpec!V20))*1,".")</f>
        <v>3.5939411562557813E-5</v>
      </c>
      <c r="P20" s="22">
        <f>IFERROR((s_TR/(up_RadSpec!M20*s_EF_w*(1/365)*s_ED_com*up_RadSpec!R20*(s_ET_w_o+s_ET_w_i)*(1/24)*up_RadSpec!W20))*1,".")</f>
        <v>7.0875923413236868E-5</v>
      </c>
      <c r="Q20" s="22">
        <f>IFERROR((s_TR/(up_RadSpec!N20*s_EF_w*(1/365)*s_ED_com*up_RadSpec!S20*(s_ET_w_o+s_ET_w_i)*(1/24)*up_RadSpec!X20))*1,".")</f>
        <v>4.9590409590409608E-5</v>
      </c>
      <c r="R20" s="22">
        <f>IFERROR((s_TR/(up_RadSpec!O20*s_EF_w*(1/365)*s_ED_com*up_RadSpec!T20*(s_ET_w_o+s_ET_w_i)*(1/24)*up_RadSpec!Y20))*1,".")</f>
        <v>4.1639928698752258E-5</v>
      </c>
      <c r="S20" s="22">
        <f>IFERROR((s_TR/(up_RadSpec!K20*s_EF_w*(1/365)*s_ED_com*up_RadSpec!P20*(s_ET_w_o+s_ET_w_i)*(1/24)*up_RadSpec!U20))*1,".")</f>
        <v>1.2076986076986083E-4</v>
      </c>
      <c r="T20" s="43">
        <f>s_C*s_EF_w*(1/365)*s_ED_com*(s_ET_w_o+s_ET_w_i)*(1/24)*up_RadSpec!V20*up_RadSpec!Q20*1</f>
        <v>0.27824606929341444</v>
      </c>
      <c r="U20" s="43">
        <f>s_C*s_EF_w*(1/365)*s_ED_com*(s_ET_w_o+s_ET_w_i)*(1/24)*up_RadSpec!W20*up_RadSpec!R20*1</f>
        <v>0.14109163617799711</v>
      </c>
      <c r="V20" s="43">
        <f>s_C*s_EF_w*(1/365)*s_ED_com*(s_ET_w_o+s_ET_w_i)*(1/24)*up_RadSpec!X20*up_RadSpec!S20*1</f>
        <v>0.20165189363416597</v>
      </c>
      <c r="W20" s="43">
        <f>s_C*s_EF_w*(1/365)*s_ED_com*(s_ET_w_o+s_ET_w_i)*(1/24)*up_RadSpec!Y20*up_RadSpec!T20*1</f>
        <v>0.24015410958904101</v>
      </c>
      <c r="X20" s="43">
        <f>s_C*s_EF_w*(1/365)*s_ED_com*(s_ET_w_o+s_ET_w_i)*(1/24)*up_RadSpec!U20*up_RadSpec!P20*1</f>
        <v>8.2802115828021133E-2</v>
      </c>
      <c r="Y20" s="11"/>
      <c r="Z20" s="11"/>
      <c r="AA20" s="11"/>
      <c r="AB20" s="11"/>
      <c r="AC20" s="11"/>
      <c r="AD20" s="22">
        <f>IFERROR(s_TR/(up_RadSpec!G20*s_EF_w*s_ED_com*(s_ET_w_o+s_ET_w_i)*(1/24)*s_IRA_w),".")</f>
        <v>2.9090909090909094E-10</v>
      </c>
      <c r="AE20" s="22">
        <f>IFERROR(s_TR/(up_RadSpec!J20*s_EF_w*(1/365)*s_ED_com*(s_ET_w_o+s_ET_w_i)*(1/24)*s_GSF_a),".")</f>
        <v>6.3709090909090908E-6</v>
      </c>
      <c r="AF20" s="22">
        <f t="shared" si="6"/>
        <v>2.9089580799548386E-10</v>
      </c>
      <c r="AG20" s="43">
        <f t="shared" si="4"/>
        <v>34375</v>
      </c>
      <c r="AH20" s="43">
        <f t="shared" si="5"/>
        <v>1.5696347031963471</v>
      </c>
      <c r="AI20" s="10"/>
      <c r="AJ20" s="10"/>
      <c r="AK20" s="10"/>
    </row>
    <row r="21" spans="1:37" x14ac:dyDescent="0.25">
      <c r="A21" s="23" t="s">
        <v>31</v>
      </c>
      <c r="B21" s="24" t="s">
        <v>289</v>
      </c>
      <c r="C21" s="109"/>
      <c r="D21" s="22">
        <f>IFERROR((s_TR/(up_RadSpec!I21*s_EF_w*s_ED_com*s_IRS_w*(1/1000)))*1,".")</f>
        <v>7.272727272727274E-8</v>
      </c>
      <c r="E21" s="22">
        <f>IFERROR(IF(A21="H-3",(s_TR/(up_RadSpec!G21*s_EF_w*s_ED_com*(s_ET_w_o+s_ET_w_i)*(1/24)*s_IRA_w*(1/17)*1000))*1,(s_TR/(up_RadSpec!G21*s_EF_w*s_ED_com*(s_ET_w_o+s_ET_w_i)*(1/24)*s_IRA_w*(1/s_PEF_wind)*1000))*1),".")</f>
        <v>9.0250320889537203E-5</v>
      </c>
      <c r="F21" s="22" t="str">
        <f>IFERROR((s_TR/(up_RadSpec!F21*s_EF_w*(1/365)*s_ED_com*up_RadSpec!Q21*(s_ET_w_o+s_ET_w_i)*(1/24)*up_RadSpec!V21))*1,".")</f>
        <v>.</v>
      </c>
      <c r="G21" s="22">
        <f t="shared" si="0"/>
        <v>7.26687134081846E-8</v>
      </c>
      <c r="H21" s="43">
        <f t="shared" si="1"/>
        <v>137.5</v>
      </c>
      <c r="I21" s="43">
        <f t="shared" si="2"/>
        <v>0.11080293013295324</v>
      </c>
      <c r="J21" s="43">
        <f>s_C*s_EF_w*(1/365)*s_ED_com*(s_ET_w_o+s_ET_w_i)*(1/24)*up_RadSpec!V21*up_RadSpec!Q21*1</f>
        <v>0</v>
      </c>
      <c r="K21" s="4"/>
      <c r="L21" s="4"/>
      <c r="M21" s="4"/>
      <c r="N21" s="4"/>
      <c r="O21" s="22" t="str">
        <f>IFERROR((s_TR/(up_RadSpec!F21*s_EF_w*(1/365)*s_ED_com*up_RadSpec!Q21*(s_ET_w_o+s_ET_w_i)*(1/24)*up_RadSpec!V21))*1,".")</f>
        <v>.</v>
      </c>
      <c r="P21" s="22" t="str">
        <f>IFERROR((s_TR/(up_RadSpec!M21*s_EF_w*(1/365)*s_ED_com*up_RadSpec!R21*(s_ET_w_o+s_ET_w_i)*(1/24)*up_RadSpec!W21))*1,".")</f>
        <v>.</v>
      </c>
      <c r="Q21" s="22" t="str">
        <f>IFERROR((s_TR/(up_RadSpec!N21*s_EF_w*(1/365)*s_ED_com*up_RadSpec!S21*(s_ET_w_o+s_ET_w_i)*(1/24)*up_RadSpec!X21))*1,".")</f>
        <v>.</v>
      </c>
      <c r="R21" s="22" t="str">
        <f>IFERROR((s_TR/(up_RadSpec!O21*s_EF_w*(1/365)*s_ED_com*up_RadSpec!T21*(s_ET_w_o+s_ET_w_i)*(1/24)*up_RadSpec!Y21))*1,".")</f>
        <v>.</v>
      </c>
      <c r="S21" s="22" t="str">
        <f>IFERROR((s_TR/(up_RadSpec!K21*s_EF_w*(1/365)*s_ED_com*up_RadSpec!P21*(s_ET_w_o+s_ET_w_i)*(1/24)*up_RadSpec!U21))*1,".")</f>
        <v>.</v>
      </c>
      <c r="T21" s="43">
        <f>s_C*s_EF_w*(1/365)*s_ED_com*(s_ET_w_o+s_ET_w_i)*(1/24)*up_RadSpec!V21*up_RadSpec!Q21*1</f>
        <v>0</v>
      </c>
      <c r="U21" s="43">
        <f>s_C*s_EF_w*(1/365)*s_ED_com*(s_ET_w_o+s_ET_w_i)*(1/24)*up_RadSpec!W21*up_RadSpec!R21*1</f>
        <v>0</v>
      </c>
      <c r="V21" s="43">
        <f>s_C*s_EF_w*(1/365)*s_ED_com*(s_ET_w_o+s_ET_w_i)*(1/24)*up_RadSpec!X21*up_RadSpec!S21*1</f>
        <v>0</v>
      </c>
      <c r="W21" s="43">
        <f>s_C*s_EF_w*(1/365)*s_ED_com*(s_ET_w_o+s_ET_w_i)*(1/24)*up_RadSpec!Y21*up_RadSpec!T21*1</f>
        <v>0</v>
      </c>
      <c r="X21" s="43">
        <f>s_C*s_EF_w*(1/365)*s_ED_com*(s_ET_w_o+s_ET_w_i)*(1/24)*up_RadSpec!U21*up_RadSpec!P21*1</f>
        <v>0</v>
      </c>
      <c r="Y21" s="11"/>
      <c r="Z21" s="11"/>
      <c r="AA21" s="11"/>
      <c r="AB21" s="11"/>
      <c r="AC21" s="11"/>
      <c r="AD21" s="22">
        <f>IFERROR(s_TR/(up_RadSpec!G21*s_EF_w*s_ED_com*(s_ET_w_o+s_ET_w_i)*(1/24)*s_IRA_w),".")</f>
        <v>2.9090909090909094E-10</v>
      </c>
      <c r="AE21" s="22">
        <f>IFERROR(s_TR/(up_RadSpec!J21*s_EF_w*(1/365)*s_ED_com*(s_ET_w_o+s_ET_w_i)*(1/24)*s_GSF_a),".")</f>
        <v>6.3709090909090908E-6</v>
      </c>
      <c r="AF21" s="22">
        <f t="shared" si="6"/>
        <v>2.9089580799548386E-10</v>
      </c>
      <c r="AG21" s="43">
        <f t="shared" si="4"/>
        <v>34375</v>
      </c>
      <c r="AH21" s="43">
        <f t="shared" si="5"/>
        <v>1.5696347031963471</v>
      </c>
      <c r="AI21" s="10"/>
      <c r="AJ21" s="10"/>
      <c r="AK21" s="10"/>
    </row>
    <row r="22" spans="1:37" x14ac:dyDescent="0.25">
      <c r="A22" s="23" t="s">
        <v>32</v>
      </c>
      <c r="B22" s="24" t="s">
        <v>289</v>
      </c>
      <c r="C22" s="2"/>
      <c r="D22" s="22">
        <f>IFERROR((s_TR/(up_RadSpec!I22*s_EF_w*s_ED_com*s_IRS_w*(1/1000)))*1,".")</f>
        <v>7.272727272727274E-8</v>
      </c>
      <c r="E22" s="22">
        <f>IFERROR(IF(A22="H-3",(s_TR/(up_RadSpec!G22*s_EF_w*s_ED_com*(s_ET_w_o+s_ET_w_i)*(1/24)*s_IRA_w*(1/17)*1000))*1,(s_TR/(up_RadSpec!G22*s_EF_w*s_ED_com*(s_ET_w_o+s_ET_w_i)*(1/24)*s_IRA_w*(1/s_PEF_wind)*1000))*1),".")</f>
        <v>9.0250320889537203E-5</v>
      </c>
      <c r="F22" s="22">
        <f>IFERROR((s_TR/(up_RadSpec!F22*s_EF_w*(1/365)*s_ED_com*up_RadSpec!Q22*(s_ET_w_o+s_ET_w_i)*(1/24)*up_RadSpec!V22))*1,".")</f>
        <v>152.850439882698</v>
      </c>
      <c r="G22" s="22">
        <f t="shared" si="0"/>
        <v>7.2668713373636177E-8</v>
      </c>
      <c r="H22" s="43">
        <f t="shared" si="1"/>
        <v>137.5</v>
      </c>
      <c r="I22" s="43">
        <f t="shared" si="2"/>
        <v>0.11080293013295324</v>
      </c>
      <c r="J22" s="43">
        <f>s_C*s_EF_w*(1/365)*s_ED_com*(s_ET_w_o+s_ET_w_i)*(1/24)*up_RadSpec!V22*up_RadSpec!Q22*1</f>
        <v>6.5423429645830922E-8</v>
      </c>
      <c r="K22" s="4"/>
      <c r="L22" s="4"/>
      <c r="M22" s="4"/>
      <c r="N22" s="4"/>
      <c r="O22" s="22">
        <f>IFERROR((s_TR/(up_RadSpec!F22*s_EF_w*(1/365)*s_ED_com*up_RadSpec!Q22*(s_ET_w_o+s_ET_w_i)*(1/24)*up_RadSpec!V22))*1,".")</f>
        <v>152.850439882698</v>
      </c>
      <c r="P22" s="22">
        <f>IFERROR((s_TR/(up_RadSpec!M22*s_EF_w*(1/365)*s_ED_com*up_RadSpec!R22*(s_ET_w_o+s_ET_w_i)*(1/24)*up_RadSpec!W22))*1,".")</f>
        <v>140.06003150167919</v>
      </c>
      <c r="Q22" s="22">
        <f>IFERROR((s_TR/(up_RadSpec!N22*s_EF_w*(1/365)*s_ED_com*up_RadSpec!S22*(s_ET_w_o+s_ET_w_i)*(1/24)*up_RadSpec!X22))*1,".")</f>
        <v>107.60360759143475</v>
      </c>
      <c r="R22" s="22">
        <f>IFERROR((s_TR/(up_RadSpec!O22*s_EF_w*(1/365)*s_ED_com*up_RadSpec!T22*(s_ET_w_o+s_ET_w_i)*(1/24)*up_RadSpec!Y22))*1,".")</f>
        <v>110.88257575757572</v>
      </c>
      <c r="S22" s="22">
        <f>IFERROR((s_TR/(up_RadSpec!K22*s_EF_w*(1/365)*s_ED_com*up_RadSpec!P22*(s_ET_w_o+s_ET_w_i)*(1/24)*up_RadSpec!U22))*1,".")</f>
        <v>786.78866993535519</v>
      </c>
      <c r="T22" s="43">
        <f>s_C*s_EF_w*(1/365)*s_ED_com*(s_ET_w_o+s_ET_w_i)*(1/24)*up_RadSpec!V22*up_RadSpec!Q22*1</f>
        <v>6.5423429645830922E-8</v>
      </c>
      <c r="U22" s="43">
        <f>s_C*s_EF_w*(1/365)*s_ED_com*(s_ET_w_o+s_ET_w_i)*(1/24)*up_RadSpec!W22*up_RadSpec!R22*1</f>
        <v>7.1397956239072443E-8</v>
      </c>
      <c r="V22" s="43">
        <f>s_C*s_EF_w*(1/365)*s_ED_com*(s_ET_w_o+s_ET_w_i)*(1/24)*up_RadSpec!X22*up_RadSpec!S22*1</f>
        <v>9.2933687111769299E-8</v>
      </c>
      <c r="W22" s="43">
        <f>s_C*s_EF_w*(1/365)*s_ED_com*(s_ET_w_o+s_ET_w_i)*(1/24)*up_RadSpec!Y22*up_RadSpec!T22*1</f>
        <v>9.0185495166194156E-8</v>
      </c>
      <c r="X22" s="43">
        <f>s_C*s_EF_w*(1/365)*s_ED_com*(s_ET_w_o+s_ET_w_i)*(1/24)*up_RadSpec!U22*up_RadSpec!P22*1</f>
        <v>1.2709893243406304E-8</v>
      </c>
      <c r="Y22" s="11"/>
      <c r="Z22" s="11"/>
      <c r="AA22" s="11"/>
      <c r="AB22" s="11"/>
      <c r="AC22" s="11"/>
      <c r="AD22" s="22">
        <f>IFERROR(s_TR/(up_RadSpec!G22*s_EF_w*s_ED_com*(s_ET_w_o+s_ET_w_i)*(1/24)*s_IRA_w),".")</f>
        <v>2.9090909090909094E-10</v>
      </c>
      <c r="AE22" s="22">
        <f>IFERROR(s_TR/(up_RadSpec!J22*s_EF_w*(1/365)*s_ED_com*(s_ET_w_o+s_ET_w_i)*(1/24)*s_GSF_a),".")</f>
        <v>6.3709090909090908E-6</v>
      </c>
      <c r="AF22" s="22">
        <f t="shared" si="6"/>
        <v>2.9089580799548386E-10</v>
      </c>
      <c r="AG22" s="43">
        <f t="shared" si="4"/>
        <v>34375</v>
      </c>
      <c r="AH22" s="43">
        <f t="shared" si="5"/>
        <v>1.5696347031963471</v>
      </c>
      <c r="AI22" s="10"/>
      <c r="AJ22" s="10"/>
      <c r="AK22" s="10"/>
    </row>
    <row r="23" spans="1:37" x14ac:dyDescent="0.25">
      <c r="A23" s="25" t="s">
        <v>33</v>
      </c>
      <c r="B23" s="24" t="s">
        <v>275</v>
      </c>
      <c r="C23" s="109"/>
      <c r="D23" s="22">
        <f>IFERROR((s_TR/(up_RadSpec!I23*s_EF_w*s_ED_com*s_IRS_w*(1/1000)))*1,".")</f>
        <v>7.272727272727274E-8</v>
      </c>
      <c r="E23" s="22">
        <f>IFERROR(IF(A23="H-3",(s_TR/(up_RadSpec!G23*s_EF_w*s_ED_com*(s_ET_w_o+s_ET_w_i)*(1/24)*s_IRA_w*(1/17)*1000))*1,(s_TR/(up_RadSpec!G23*s_EF_w*s_ED_com*(s_ET_w_o+s_ET_w_i)*(1/24)*s_IRA_w*(1/s_PEF_wind)*1000))*1),".")</f>
        <v>9.0250320889537203E-5</v>
      </c>
      <c r="F23" s="22">
        <f>IFERROR((s_TR/(up_RadSpec!F23*s_EF_w*(1/365)*s_ED_com*up_RadSpec!Q23*(s_ET_w_o+s_ET_w_i)*(1/24)*up_RadSpec!V23))*1,".")</f>
        <v>3.5003923532849144E-5</v>
      </c>
      <c r="G23" s="22">
        <f t="shared" si="0"/>
        <v>7.2518164521584467E-8</v>
      </c>
      <c r="H23" s="43">
        <f t="shared" si="1"/>
        <v>137.5</v>
      </c>
      <c r="I23" s="43">
        <f t="shared" si="2"/>
        <v>0.11080293013295324</v>
      </c>
      <c r="J23" s="43">
        <f>s_C*s_EF_w*(1/365)*s_ED_com*(s_ET_w_o+s_ET_w_i)*(1/24)*up_RadSpec!V23*up_RadSpec!Q23*1</f>
        <v>0.28568226046476142</v>
      </c>
      <c r="K23" s="4"/>
      <c r="L23" s="4"/>
      <c r="M23" s="4"/>
      <c r="N23" s="4"/>
      <c r="O23" s="22">
        <f>IFERROR((s_TR/(up_RadSpec!F23*s_EF_w*(1/365)*s_ED_com*up_RadSpec!Q23*(s_ET_w_o+s_ET_w_i)*(1/24)*up_RadSpec!V23))*1,".")</f>
        <v>3.5003923532849144E-5</v>
      </c>
      <c r="P23" s="22">
        <f>IFERROR((s_TR/(up_RadSpec!M23*s_EF_w*(1/365)*s_ED_com*up_RadSpec!R23*(s_ET_w_o+s_ET_w_i)*(1/24)*up_RadSpec!W23))*1,".")</f>
        <v>6.2307642417036043E-5</v>
      </c>
      <c r="Q23" s="22">
        <f>IFERROR((s_TR/(up_RadSpec!N23*s_EF_w*(1/365)*s_ED_com*up_RadSpec!S23*(s_ET_w_o+s_ET_w_i)*(1/24)*up_RadSpec!X23))*1,".")</f>
        <v>4.4059313285674305E-5</v>
      </c>
      <c r="R23" s="22">
        <f>IFERROR((s_TR/(up_RadSpec!O23*s_EF_w*(1/365)*s_ED_com*up_RadSpec!T23*(s_ET_w_o+s_ET_w_i)*(1/24)*up_RadSpec!Y23))*1,".")</f>
        <v>3.6055144855144853E-5</v>
      </c>
      <c r="S23" s="22">
        <f>IFERROR((s_TR/(up_RadSpec!K23*s_EF_w*(1/365)*s_ED_com*up_RadSpec!P23*(s_ET_w_o+s_ET_w_i)*(1/24)*up_RadSpec!U23))*1,".")</f>
        <v>9.8081956878073384E-5</v>
      </c>
      <c r="T23" s="43">
        <f>s_C*s_EF_w*(1/365)*s_ED_com*(s_ET_w_o+s_ET_w_i)*(1/24)*up_RadSpec!V23*up_RadSpec!Q23*1</f>
        <v>0.28568226046476142</v>
      </c>
      <c r="U23" s="43">
        <f>s_C*s_EF_w*(1/365)*s_ED_com*(s_ET_w_o+s_ET_w_i)*(1/24)*up_RadSpec!W23*up_RadSpec!R23*1</f>
        <v>0.16049395567028901</v>
      </c>
      <c r="V23" s="43">
        <f>s_C*s_EF_w*(1/365)*s_ED_com*(s_ET_w_o+s_ET_w_i)*(1/24)*up_RadSpec!X23*up_RadSpec!S23*1</f>
        <v>0.22696676943558855</v>
      </c>
      <c r="W23" s="43">
        <f>s_C*s_EF_w*(1/365)*s_ED_com*(s_ET_w_o+s_ET_w_i)*(1/24)*up_RadSpec!Y23*up_RadSpec!T23*1</f>
        <v>0.27735292813760704</v>
      </c>
      <c r="X23" s="43">
        <f>s_C*s_EF_w*(1/365)*s_ED_com*(s_ET_w_o+s_ET_w_i)*(1/24)*up_RadSpec!U23*up_RadSpec!P23*1</f>
        <v>0.10195555144185284</v>
      </c>
      <c r="Y23" s="11"/>
      <c r="Z23" s="11"/>
      <c r="AA23" s="11"/>
      <c r="AB23" s="11"/>
      <c r="AC23" s="11"/>
      <c r="AD23" s="22">
        <f>IFERROR(s_TR/(up_RadSpec!G23*s_EF_w*s_ED_com*(s_ET_w_o+s_ET_w_i)*(1/24)*s_IRA_w),".")</f>
        <v>2.9090909090909094E-10</v>
      </c>
      <c r="AE23" s="22">
        <f>IFERROR(s_TR/(up_RadSpec!J23*s_EF_w*(1/365)*s_ED_com*(s_ET_w_o+s_ET_w_i)*(1/24)*s_GSF_a),".")</f>
        <v>6.3709090909090908E-6</v>
      </c>
      <c r="AF23" s="22">
        <f t="shared" si="6"/>
        <v>2.9089580799548386E-10</v>
      </c>
      <c r="AG23" s="43">
        <f t="shared" si="4"/>
        <v>34375</v>
      </c>
      <c r="AH23" s="43">
        <f t="shared" si="5"/>
        <v>1.5696347031963471</v>
      </c>
      <c r="AI23" s="10"/>
      <c r="AJ23" s="10"/>
      <c r="AK23" s="10"/>
    </row>
    <row r="24" spans="1:37" x14ac:dyDescent="0.25">
      <c r="A24" s="23" t="s">
        <v>34</v>
      </c>
      <c r="B24" s="24" t="s">
        <v>289</v>
      </c>
      <c r="C24" s="109"/>
      <c r="D24" s="22">
        <f>IFERROR((s_TR/(up_RadSpec!I24*s_EF_w*s_ED_com*s_IRS_w*(1/1000)))*1,".")</f>
        <v>7.272727272727274E-8</v>
      </c>
      <c r="E24" s="22">
        <f>IFERROR(IF(A24="H-3",(s_TR/(up_RadSpec!G24*s_EF_w*s_ED_com*(s_ET_w_o+s_ET_w_i)*(1/24)*s_IRA_w*(1/17)*1000))*1,(s_TR/(up_RadSpec!G24*s_EF_w*s_ED_com*(s_ET_w_o+s_ET_w_i)*(1/24)*s_IRA_w*(1/s_PEF_wind)*1000))*1),".")</f>
        <v>9.0250320889537203E-5</v>
      </c>
      <c r="F24" s="22">
        <f>IFERROR((s_TR/(up_RadSpec!F24*s_EF_w*(1/365)*s_ED_com*up_RadSpec!Q24*(s_ET_w_o+s_ET_w_i)*(1/24)*up_RadSpec!V24))*1,".")</f>
        <v>4.588736227558055E-5</v>
      </c>
      <c r="G24" s="22">
        <f t="shared" si="0"/>
        <v>7.255381483664826E-8</v>
      </c>
      <c r="H24" s="43">
        <f t="shared" si="1"/>
        <v>137.5</v>
      </c>
      <c r="I24" s="43">
        <f t="shared" si="2"/>
        <v>0.11080293013295324</v>
      </c>
      <c r="J24" s="43">
        <f>s_C*s_EF_w*(1/365)*s_ED_com*(s_ET_w_o+s_ET_w_i)*(1/24)*up_RadSpec!V24*up_RadSpec!Q24*1</f>
        <v>0.21792492538455643</v>
      </c>
      <c r="K24" s="4"/>
      <c r="L24" s="4"/>
      <c r="M24" s="4"/>
      <c r="N24" s="4"/>
      <c r="O24" s="22">
        <f>IFERROR((s_TR/(up_RadSpec!F24*s_EF_w*(1/365)*s_ED_com*up_RadSpec!Q24*(s_ET_w_o+s_ET_w_i)*(1/24)*up_RadSpec!V24))*1,".")</f>
        <v>4.588736227558055E-5</v>
      </c>
      <c r="P24" s="22">
        <f>IFERROR((s_TR/(up_RadSpec!M24*s_EF_w*(1/365)*s_ED_com*up_RadSpec!R24*(s_ET_w_o+s_ET_w_i)*(1/24)*up_RadSpec!W24))*1,".")</f>
        <v>8.319447442262036E-5</v>
      </c>
      <c r="Q24" s="22">
        <f>IFERROR((s_TR/(up_RadSpec!N24*s_EF_w*(1/365)*s_ED_com*up_RadSpec!S24*(s_ET_w_o+s_ET_w_i)*(1/24)*up_RadSpec!X24))*1,".")</f>
        <v>5.8740674803103339E-5</v>
      </c>
      <c r="R24" s="22">
        <f>IFERROR((s_TR/(up_RadSpec!O24*s_EF_w*(1/365)*s_ED_com*up_RadSpec!T24*(s_ET_w_o+s_ET_w_i)*(1/24)*up_RadSpec!Y24))*1,".")</f>
        <v>4.9052272027325928E-5</v>
      </c>
      <c r="S24" s="22">
        <f>IFERROR((s_TR/(up_RadSpec!K24*s_EF_w*(1/365)*s_ED_com*up_RadSpec!P24*(s_ET_w_o+s_ET_w_i)*(1/24)*up_RadSpec!U24))*1,".")</f>
        <v>1.3826973026973021E-4</v>
      </c>
      <c r="T24" s="43">
        <f>s_C*s_EF_w*(1/365)*s_ED_com*(s_ET_w_o+s_ET_w_i)*(1/24)*up_RadSpec!V24*up_RadSpec!Q24*1</f>
        <v>0.21792492538455643</v>
      </c>
      <c r="U24" s="43">
        <f>s_C*s_EF_w*(1/365)*s_ED_com*(s_ET_w_o+s_ET_w_i)*(1/24)*up_RadSpec!W24*up_RadSpec!R24*1</f>
        <v>0.12020029057700292</v>
      </c>
      <c r="V24" s="43">
        <f>s_C*s_EF_w*(1/365)*s_ED_com*(s_ET_w_o+s_ET_w_i)*(1/24)*up_RadSpec!X24*up_RadSpec!S24*1</f>
        <v>0.17023978756661629</v>
      </c>
      <c r="W24" s="43">
        <f>s_C*s_EF_w*(1/365)*s_ED_com*(s_ET_w_o+s_ET_w_i)*(1/24)*up_RadSpec!Y24*up_RadSpec!T24*1</f>
        <v>0.20386415525114157</v>
      </c>
      <c r="X24" s="43">
        <f>s_C*s_EF_w*(1/365)*s_ED_com*(s_ET_w_o+s_ET_w_i)*(1/24)*up_RadSpec!U24*up_RadSpec!P24*1</f>
        <v>7.2322409109300073E-2</v>
      </c>
      <c r="Y24" s="11"/>
      <c r="Z24" s="11"/>
      <c r="AA24" s="11"/>
      <c r="AB24" s="11"/>
      <c r="AC24" s="11"/>
      <c r="AD24" s="22">
        <f>IFERROR(s_TR/(up_RadSpec!G24*s_EF_w*s_ED_com*(s_ET_w_o+s_ET_w_i)*(1/24)*s_IRA_w),".")</f>
        <v>2.9090909090909094E-10</v>
      </c>
      <c r="AE24" s="22">
        <f>IFERROR(s_TR/(up_RadSpec!J24*s_EF_w*(1/365)*s_ED_com*(s_ET_w_o+s_ET_w_i)*(1/24)*s_GSF_a),".")</f>
        <v>6.3709090909090908E-6</v>
      </c>
      <c r="AF24" s="22">
        <f t="shared" si="6"/>
        <v>2.9089580799548386E-10</v>
      </c>
      <c r="AG24" s="43">
        <f t="shared" si="4"/>
        <v>34375</v>
      </c>
      <c r="AH24" s="43">
        <f t="shared" si="5"/>
        <v>1.5696347031963471</v>
      </c>
      <c r="AI24" s="10"/>
      <c r="AJ24" s="10"/>
      <c r="AK24" s="10"/>
    </row>
    <row r="25" spans="1:37" x14ac:dyDescent="0.25">
      <c r="A25" s="25" t="s">
        <v>35</v>
      </c>
      <c r="B25" s="24" t="s">
        <v>275</v>
      </c>
      <c r="C25" s="109"/>
      <c r="D25" s="22">
        <f>IFERROR((s_TR/(up_RadSpec!I25*s_EF_w*s_ED_com*s_IRS_w*(1/1000)))*1,".")</f>
        <v>7.272727272727274E-8</v>
      </c>
      <c r="E25" s="22">
        <f>IFERROR(IF(A25="H-3",(s_TR/(up_RadSpec!G25*s_EF_w*s_ED_com*(s_ET_w_o+s_ET_w_i)*(1/24)*s_IRA_w*(1/17)*1000))*1,(s_TR/(up_RadSpec!G25*s_EF_w*s_ED_com*(s_ET_w_o+s_ET_w_i)*(1/24)*s_IRA_w*(1/s_PEF_wind)*1000))*1),".")</f>
        <v>9.0250320889537203E-5</v>
      </c>
      <c r="F25" s="22">
        <f>IFERROR((s_TR/(up_RadSpec!F25*s_EF_w*(1/365)*s_ED_com*up_RadSpec!Q25*(s_ET_w_o+s_ET_w_i)*(1/24)*up_RadSpec!V25))*1,".")</f>
        <v>5.1171960569550945E-5</v>
      </c>
      <c r="G25" s="22">
        <f t="shared" si="0"/>
        <v>7.2565663742643228E-8</v>
      </c>
      <c r="H25" s="43">
        <f t="shared" si="1"/>
        <v>137.5</v>
      </c>
      <c r="I25" s="43">
        <f t="shared" si="2"/>
        <v>0.11080293013295324</v>
      </c>
      <c r="J25" s="43">
        <f>s_C*s_EF_w*(1/365)*s_ED_com*(s_ET_w_o+s_ET_w_i)*(1/24)*up_RadSpec!V25*up_RadSpec!Q25*1</f>
        <v>0.1954195205479452</v>
      </c>
      <c r="K25" s="4"/>
      <c r="L25" s="4"/>
      <c r="M25" s="4"/>
      <c r="N25" s="4"/>
      <c r="O25" s="22">
        <f>IFERROR((s_TR/(up_RadSpec!F25*s_EF_w*(1/365)*s_ED_com*up_RadSpec!Q25*(s_ET_w_o+s_ET_w_i)*(1/24)*up_RadSpec!V25))*1,".")</f>
        <v>5.1171960569550945E-5</v>
      </c>
      <c r="P25" s="22">
        <f>IFERROR((s_TR/(up_RadSpec!M25*s_EF_w*(1/365)*s_ED_com*up_RadSpec!R25*(s_ET_w_o+s_ET_w_i)*(1/24)*up_RadSpec!W25))*1,".")</f>
        <v>9.1638362553616787E-5</v>
      </c>
      <c r="Q25" s="22">
        <f>IFERROR((s_TR/(up_RadSpec!N25*s_EF_w*(1/365)*s_ED_com*up_RadSpec!S25*(s_ET_w_o+s_ET_w_i)*(1/24)*up_RadSpec!X25))*1,".")</f>
        <v>6.5732694272020137E-5</v>
      </c>
      <c r="R25" s="22">
        <f>IFERROR((s_TR/(up_RadSpec!O25*s_EF_w*(1/365)*s_ED_com*up_RadSpec!T25*(s_ET_w_o+s_ET_w_i)*(1/24)*up_RadSpec!Y25))*1,".")</f>
        <v>5.8697641341709148E-5</v>
      </c>
      <c r="S25" s="22">
        <f>IFERROR((s_TR/(up_RadSpec!K25*s_EF_w*(1/365)*s_ED_com*up_RadSpec!P25*(s_ET_w_o+s_ET_w_i)*(1/24)*up_RadSpec!U25))*1,".")</f>
        <v>1.6429752066115703E-4</v>
      </c>
      <c r="T25" s="43">
        <f>s_C*s_EF_w*(1/365)*s_ED_com*(s_ET_w_o+s_ET_w_i)*(1/24)*up_RadSpec!V25*up_RadSpec!Q25*1</f>
        <v>0.1954195205479452</v>
      </c>
      <c r="U25" s="43">
        <f>s_C*s_EF_w*(1/365)*s_ED_com*(s_ET_w_o+s_ET_w_i)*(1/24)*up_RadSpec!W25*up_RadSpec!R25*1</f>
        <v>0.10912460372858684</v>
      </c>
      <c r="V25" s="43">
        <f>s_C*s_EF_w*(1/365)*s_ED_com*(s_ET_w_o+s_ET_w_i)*(1/24)*up_RadSpec!X25*up_RadSpec!S25*1</f>
        <v>0.15213129646895693</v>
      </c>
      <c r="W25" s="43">
        <f>s_C*s_EF_w*(1/365)*s_ED_com*(s_ET_w_o+s_ET_w_i)*(1/24)*up_RadSpec!Y25*up_RadSpec!T25*1</f>
        <v>0.17036459679503749</v>
      </c>
      <c r="X25" s="43">
        <f>s_C*s_EF_w*(1/365)*s_ED_com*(s_ET_w_o+s_ET_w_i)*(1/24)*up_RadSpec!U25*up_RadSpec!P25*1</f>
        <v>6.0865191146881298E-2</v>
      </c>
      <c r="Y25" s="11"/>
      <c r="Z25" s="11"/>
      <c r="AA25" s="11"/>
      <c r="AB25" s="11"/>
      <c r="AC25" s="11"/>
      <c r="AD25" s="22">
        <f>IFERROR(s_TR/(up_RadSpec!G25*s_EF_w*s_ED_com*(s_ET_w_o+s_ET_w_i)*(1/24)*s_IRA_w),".")</f>
        <v>2.9090909090909094E-10</v>
      </c>
      <c r="AE25" s="22">
        <f>IFERROR(s_TR/(up_RadSpec!J25*s_EF_w*(1/365)*s_ED_com*(s_ET_w_o+s_ET_w_i)*(1/24)*s_GSF_a),".")</f>
        <v>6.3709090909090908E-6</v>
      </c>
      <c r="AF25" s="22">
        <f t="shared" si="6"/>
        <v>2.9089580799548386E-10</v>
      </c>
      <c r="AG25" s="43">
        <f t="shared" si="4"/>
        <v>34375</v>
      </c>
      <c r="AH25" s="43">
        <f t="shared" si="5"/>
        <v>1.5696347031963471</v>
      </c>
      <c r="AI25" s="10"/>
      <c r="AJ25" s="10"/>
      <c r="AK25" s="10"/>
    </row>
    <row r="26" spans="1:37" x14ac:dyDescent="0.25">
      <c r="A26" s="23" t="s">
        <v>36</v>
      </c>
      <c r="B26" s="24" t="s">
        <v>289</v>
      </c>
      <c r="C26" s="2"/>
      <c r="D26" s="22">
        <f>IFERROR((s_TR/(up_RadSpec!I26*s_EF_w*s_ED_com*s_IRS_w*(1/1000)))*1,".")</f>
        <v>7.272727272727274E-8</v>
      </c>
      <c r="E26" s="22">
        <f>IFERROR(IF(A26="H-3",(s_TR/(up_RadSpec!G26*s_EF_w*s_ED_com*(s_ET_w_o+s_ET_w_i)*(1/24)*s_IRA_w*(1/17)*1000))*1,(s_TR/(up_RadSpec!G26*s_EF_w*s_ED_com*(s_ET_w_o+s_ET_w_i)*(1/24)*s_IRA_w*(1/s_PEF_wind)*1000))*1),".")</f>
        <v>9.0250320889537203E-5</v>
      </c>
      <c r="F26" s="22">
        <f>IFERROR((s_TR/(up_RadSpec!F26*s_EF_w*(1/365)*s_ED_com*up_RadSpec!Q26*(s_ET_w_o+s_ET_w_i)*(1/24)*up_RadSpec!V26))*1,".")</f>
        <v>2.7899814471243033E-4</v>
      </c>
      <c r="G26" s="22">
        <f t="shared" si="0"/>
        <v>7.2649790820603426E-8</v>
      </c>
      <c r="H26" s="43">
        <f t="shared" si="1"/>
        <v>137.5</v>
      </c>
      <c r="I26" s="43">
        <f t="shared" si="2"/>
        <v>0.11080293013295324</v>
      </c>
      <c r="J26" s="43">
        <f>s_C*s_EF_w*(1/365)*s_ED_com*(s_ET_w_o+s_ET_w_i)*(1/24)*up_RadSpec!V26*up_RadSpec!Q26*1</f>
        <v>3.5842532251629221E-2</v>
      </c>
      <c r="K26" s="4"/>
      <c r="L26" s="4"/>
      <c r="M26" s="4"/>
      <c r="N26" s="4"/>
      <c r="O26" s="22">
        <f>IFERROR((s_TR/(up_RadSpec!F26*s_EF_w*(1/365)*s_ED_com*up_RadSpec!Q26*(s_ET_w_o+s_ET_w_i)*(1/24)*up_RadSpec!V26))*1,".")</f>
        <v>2.7899814471243033E-4</v>
      </c>
      <c r="P26" s="22">
        <f>IFERROR((s_TR/(up_RadSpec!M26*s_EF_w*(1/365)*s_ED_com*up_RadSpec!R26*(s_ET_w_o+s_ET_w_i)*(1/24)*up_RadSpec!W26))*1,".")</f>
        <v>5.0938165204298855E-4</v>
      </c>
      <c r="Q26" s="22">
        <f>IFERROR((s_TR/(up_RadSpec!N26*s_EF_w*(1/365)*s_ED_com*up_RadSpec!S26*(s_ET_w_o+s_ET_w_i)*(1/24)*up_RadSpec!X26))*1,".")</f>
        <v>3.681714832535885E-4</v>
      </c>
      <c r="R26" s="22">
        <f>IFERROR((s_TR/(up_RadSpec!O26*s_EF_w*(1/365)*s_ED_com*up_RadSpec!T26*(s_ET_w_o+s_ET_w_i)*(1/24)*up_RadSpec!Y26))*1,".")</f>
        <v>3.149256198347106E-4</v>
      </c>
      <c r="S26" s="22">
        <f>IFERROR((s_TR/(up_RadSpec!K26*s_EF_w*(1/365)*s_ED_com*up_RadSpec!P26*(s_ET_w_o+s_ET_w_i)*(1/24)*up_RadSpec!U26))*1,".")</f>
        <v>2.9689496050264632E-3</v>
      </c>
      <c r="T26" s="43">
        <f>s_C*s_EF_w*(1/365)*s_ED_com*(s_ET_w_o+s_ET_w_i)*(1/24)*up_RadSpec!V26*up_RadSpec!Q26*1</f>
        <v>3.5842532251629221E-2</v>
      </c>
      <c r="U26" s="43">
        <f>s_C*s_EF_w*(1/365)*s_ED_com*(s_ET_w_o+s_ET_w_i)*(1/24)*up_RadSpec!W26*up_RadSpec!R26*1</f>
        <v>1.9631645466405737E-2</v>
      </c>
      <c r="V26" s="43">
        <f>s_C*s_EF_w*(1/365)*s_ED_com*(s_ET_w_o+s_ET_w_i)*(1/24)*up_RadSpec!X26*up_RadSpec!S26*1</f>
        <v>2.7161256248388527E-2</v>
      </c>
      <c r="W26" s="43">
        <f>s_C*s_EF_w*(1/365)*s_ED_com*(s_ET_w_o+s_ET_w_i)*(1/24)*up_RadSpec!Y26*up_RadSpec!T26*1</f>
        <v>3.1753529627880146E-2</v>
      </c>
      <c r="X26" s="43">
        <f>s_C*s_EF_w*(1/365)*s_ED_com*(s_ET_w_o+s_ET_w_i)*(1/24)*up_RadSpec!U26*up_RadSpec!P26*1</f>
        <v>3.3681945907973296E-3</v>
      </c>
      <c r="Y26" s="11"/>
      <c r="Z26" s="11"/>
      <c r="AA26" s="11"/>
      <c r="AB26" s="11"/>
      <c r="AC26" s="11"/>
      <c r="AD26" s="22">
        <f>IFERROR(s_TR/(up_RadSpec!G26*s_EF_w*s_ED_com*(s_ET_w_o+s_ET_w_i)*(1/24)*s_IRA_w),".")</f>
        <v>2.9090909090909094E-10</v>
      </c>
      <c r="AE26" s="22">
        <f>IFERROR(s_TR/(up_RadSpec!J26*s_EF_w*(1/365)*s_ED_com*(s_ET_w_o+s_ET_w_i)*(1/24)*s_GSF_a),".")</f>
        <v>6.3709090909090908E-6</v>
      </c>
      <c r="AF26" s="22">
        <f t="shared" si="6"/>
        <v>2.9089580799548386E-10</v>
      </c>
      <c r="AG26" s="43">
        <f t="shared" si="4"/>
        <v>34375</v>
      </c>
      <c r="AH26" s="43">
        <f t="shared" si="5"/>
        <v>1.5696347031963471</v>
      </c>
      <c r="AI26" s="10"/>
      <c r="AJ26" s="10"/>
      <c r="AK26" s="10"/>
    </row>
    <row r="27" spans="1:37" x14ac:dyDescent="0.25">
      <c r="A27" s="23" t="s">
        <v>37</v>
      </c>
      <c r="B27" s="24" t="s">
        <v>289</v>
      </c>
      <c r="C27" s="109"/>
      <c r="D27" s="22">
        <f>IFERROR((s_TR/(up_RadSpec!I27*s_EF_w*s_ED_com*s_IRS_w*(1/1000)))*1,".")</f>
        <v>7.272727272727274E-8</v>
      </c>
      <c r="E27" s="22">
        <f>IFERROR(IF(A27="H-3",(s_TR/(up_RadSpec!G27*s_EF_w*s_ED_com*(s_ET_w_o+s_ET_w_i)*(1/24)*s_IRA_w*(1/17)*1000))*1,(s_TR/(up_RadSpec!G27*s_EF_w*s_ED_com*(s_ET_w_o+s_ET_w_i)*(1/24)*s_IRA_w*(1/s_PEF_wind)*1000))*1),".")</f>
        <v>9.0250320889537203E-5</v>
      </c>
      <c r="F27" s="22">
        <f>IFERROR((s_TR/(up_RadSpec!F27*s_EF_w*(1/365)*s_ED_com*up_RadSpec!Q27*(s_ET_w_o+s_ET_w_i)*(1/24)*up_RadSpec!V27))*1,".")</f>
        <v>5.8783443727764475E-5</v>
      </c>
      <c r="G27" s="22">
        <f t="shared" si="0"/>
        <v>7.25789904942956E-8</v>
      </c>
      <c r="H27" s="43">
        <f t="shared" si="1"/>
        <v>137.5</v>
      </c>
      <c r="I27" s="43">
        <f t="shared" si="2"/>
        <v>0.11080293013295324</v>
      </c>
      <c r="J27" s="43">
        <f>s_C*s_EF_w*(1/365)*s_ED_com*(s_ET_w_o+s_ET_w_i)*(1/24)*up_RadSpec!V27*up_RadSpec!Q27*1</f>
        <v>0.17011592662572816</v>
      </c>
      <c r="K27" s="4"/>
      <c r="L27" s="4"/>
      <c r="M27" s="4"/>
      <c r="N27" s="4"/>
      <c r="O27" s="22">
        <f>IFERROR((s_TR/(up_RadSpec!F27*s_EF_w*(1/365)*s_ED_com*up_RadSpec!Q27*(s_ET_w_o+s_ET_w_i)*(1/24)*up_RadSpec!V27))*1,".")</f>
        <v>5.8783443727764475E-5</v>
      </c>
      <c r="P27" s="22">
        <f>IFERROR((s_TR/(up_RadSpec!M27*s_EF_w*(1/365)*s_ED_com*up_RadSpec!R27*(s_ET_w_o+s_ET_w_i)*(1/24)*up_RadSpec!W27))*1,".")</f>
        <v>1.7436172248803838E-4</v>
      </c>
      <c r="Q27" s="22">
        <f>IFERROR((s_TR/(up_RadSpec!N27*s_EF_w*(1/365)*s_ED_com*up_RadSpec!S27*(s_ET_w_o+s_ET_w_i)*(1/24)*up_RadSpec!X27))*1,".")</f>
        <v>1.0689684726048363E-4</v>
      </c>
      <c r="R27" s="22">
        <f>IFERROR((s_TR/(up_RadSpec!O27*s_EF_w*(1/365)*s_ED_com*up_RadSpec!T27*(s_ET_w_o+s_ET_w_i)*(1/24)*up_RadSpec!Y27))*1,".")</f>
        <v>7.7763326697633295E-5</v>
      </c>
      <c r="S27" s="22">
        <f>IFERROR((s_TR/(up_RadSpec!K27*s_EF_w*(1/365)*s_ED_com*up_RadSpec!P27*(s_ET_w_o+s_ET_w_i)*(1/24)*up_RadSpec!U27))*1,".")</f>
        <v>5.4540040604556764E-4</v>
      </c>
      <c r="T27" s="43">
        <f>s_C*s_EF_w*(1/365)*s_ED_com*(s_ET_w_o+s_ET_w_i)*(1/24)*up_RadSpec!V27*up_RadSpec!Q27*1</f>
        <v>0.17011592662572816</v>
      </c>
      <c r="U27" s="43">
        <f>s_C*s_EF_w*(1/365)*s_ED_com*(s_ET_w_o+s_ET_w_i)*(1/24)*up_RadSpec!W27*up_RadSpec!R27*1</f>
        <v>5.7352037232174198E-2</v>
      </c>
      <c r="V27" s="43">
        <f>s_C*s_EF_w*(1/365)*s_ED_com*(s_ET_w_o+s_ET_w_i)*(1/24)*up_RadSpec!X27*up_RadSpec!S27*1</f>
        <v>9.35481284647455E-2</v>
      </c>
      <c r="W27" s="43">
        <f>s_C*s_EF_w*(1/365)*s_ED_com*(s_ET_w_o+s_ET_w_i)*(1/24)*up_RadSpec!Y27*up_RadSpec!T27*1</f>
        <v>0.12859532153096981</v>
      </c>
      <c r="X27" s="43">
        <f>s_C*s_EF_w*(1/365)*s_ED_com*(s_ET_w_o+s_ET_w_i)*(1/24)*up_RadSpec!U27*up_RadSpec!P27*1</f>
        <v>1.8335153199655875E-2</v>
      </c>
      <c r="Y27" s="11"/>
      <c r="Z27" s="11"/>
      <c r="AA27" s="11"/>
      <c r="AB27" s="11"/>
      <c r="AC27" s="11"/>
      <c r="AD27" s="22">
        <f>IFERROR(s_TR/(up_RadSpec!G27*s_EF_w*s_ED_com*(s_ET_w_o+s_ET_w_i)*(1/24)*s_IRA_w),".")</f>
        <v>2.9090909090909094E-10</v>
      </c>
      <c r="AE27" s="22">
        <f>IFERROR(s_TR/(up_RadSpec!J27*s_EF_w*(1/365)*s_ED_com*(s_ET_w_o+s_ET_w_i)*(1/24)*s_GSF_a),".")</f>
        <v>6.3709090909090908E-6</v>
      </c>
      <c r="AF27" s="22">
        <f t="shared" si="6"/>
        <v>2.9089580799548386E-10</v>
      </c>
      <c r="AG27" s="43">
        <f t="shared" si="4"/>
        <v>34375</v>
      </c>
      <c r="AH27" s="43">
        <f t="shared" si="5"/>
        <v>1.5696347031963471</v>
      </c>
      <c r="AI27" s="10"/>
      <c r="AJ27" s="10"/>
      <c r="AK27" s="10"/>
    </row>
    <row r="28" spans="1:37" x14ac:dyDescent="0.25">
      <c r="A28" s="23" t="s">
        <v>38</v>
      </c>
      <c r="B28" s="24" t="s">
        <v>289</v>
      </c>
      <c r="C28" s="2"/>
      <c r="D28" s="22">
        <f>IFERROR((s_TR/(up_RadSpec!I28*s_EF_w*s_ED_com*s_IRS_w*(1/1000)))*1,".")</f>
        <v>7.272727272727274E-8</v>
      </c>
      <c r="E28" s="22">
        <f>IFERROR(IF(A28="H-3",(s_TR/(up_RadSpec!G28*s_EF_w*s_ED_com*(s_ET_w_o+s_ET_w_i)*(1/24)*s_IRA_w*(1/17)*1000))*1,(s_TR/(up_RadSpec!G28*s_EF_w*s_ED_com*(s_ET_w_o+s_ET_w_i)*(1/24)*s_IRA_w*(1/s_PEF_wind)*1000))*1),".")</f>
        <v>9.0250320889537203E-5</v>
      </c>
      <c r="F28" s="22">
        <f>IFERROR((s_TR/(up_RadSpec!F28*s_EF_w*(1/365)*s_ED_com*up_RadSpec!Q28*(s_ET_w_o+s_ET_w_i)*(1/24)*up_RadSpec!V28))*1,".")</f>
        <v>2.6012204356153403E-5</v>
      </c>
      <c r="G28" s="22">
        <f t="shared" si="0"/>
        <v>7.246626879998895E-8</v>
      </c>
      <c r="H28" s="43">
        <f t="shared" si="1"/>
        <v>137.5</v>
      </c>
      <c r="I28" s="43">
        <f t="shared" si="2"/>
        <v>0.11080293013295324</v>
      </c>
      <c r="J28" s="43">
        <f>s_C*s_EF_w*(1/365)*s_ED_com*(s_ET_w_o+s_ET_w_i)*(1/24)*up_RadSpec!V28*up_RadSpec!Q28*1</f>
        <v>0.38443493150684932</v>
      </c>
      <c r="K28" s="4"/>
      <c r="L28" s="4"/>
      <c r="M28" s="4"/>
      <c r="N28" s="4"/>
      <c r="O28" s="22">
        <f>IFERROR((s_TR/(up_RadSpec!F28*s_EF_w*(1/365)*s_ED_com*up_RadSpec!Q28*(s_ET_w_o+s_ET_w_i)*(1/24)*up_RadSpec!V28))*1,".")</f>
        <v>2.6012204356153403E-5</v>
      </c>
      <c r="P28" s="22">
        <f>IFERROR((s_TR/(up_RadSpec!M28*s_EF_w*(1/365)*s_ED_com*up_RadSpec!R28*(s_ET_w_o+s_ET_w_i)*(1/24)*up_RadSpec!W28))*1,".")</f>
        <v>5.8003581393411916E-5</v>
      </c>
      <c r="Q28" s="22">
        <f>IFERROR((s_TR/(up_RadSpec!N28*s_EF_w*(1/365)*s_ED_com*up_RadSpec!S28*(s_ET_w_o+s_ET_w_i)*(1/24)*up_RadSpec!X28))*1,".")</f>
        <v>4.0271233191587162E-5</v>
      </c>
      <c r="R28" s="22">
        <f>IFERROR((s_TR/(up_RadSpec!O28*s_EF_w*(1/365)*s_ED_com*up_RadSpec!T28*(s_ET_w_o+s_ET_w_i)*(1/24)*up_RadSpec!Y28))*1,".")</f>
        <v>3.4866947137369667E-5</v>
      </c>
      <c r="S28" s="22">
        <f>IFERROR((s_TR/(up_RadSpec!K28*s_EF_w*(1/365)*s_ED_com*up_RadSpec!P28*(s_ET_w_o+s_ET_w_i)*(1/24)*up_RadSpec!U28))*1,".")</f>
        <v>1.0196825396825402E-4</v>
      </c>
      <c r="T28" s="43">
        <f>s_C*s_EF_w*(1/365)*s_ED_com*(s_ET_w_o+s_ET_w_i)*(1/24)*up_RadSpec!V28*up_RadSpec!Q28*1</f>
        <v>0.38443493150684932</v>
      </c>
      <c r="U28" s="43">
        <f>s_C*s_EF_w*(1/365)*s_ED_com*(s_ET_w_o+s_ET_w_i)*(1/24)*up_RadSpec!W28*up_RadSpec!R28*1</f>
        <v>0.17240314752591826</v>
      </c>
      <c r="V28" s="43">
        <f>s_C*s_EF_w*(1/365)*s_ED_com*(s_ET_w_o+s_ET_w_i)*(1/24)*up_RadSpec!X28*up_RadSpec!S28*1</f>
        <v>0.24831621004566223</v>
      </c>
      <c r="W28" s="43">
        <f>s_C*s_EF_w*(1/365)*s_ED_com*(s_ET_w_o+s_ET_w_i)*(1/24)*up_RadSpec!Y28*up_RadSpec!T28*1</f>
        <v>0.286804576282568</v>
      </c>
      <c r="X28" s="43">
        <f>s_C*s_EF_w*(1/365)*s_ED_com*(s_ET_w_o+s_ET_w_i)*(1/24)*up_RadSpec!U28*up_RadSpec!P28*1</f>
        <v>9.8069738480697347E-2</v>
      </c>
      <c r="Y28" s="11"/>
      <c r="Z28" s="11"/>
      <c r="AA28" s="11"/>
      <c r="AB28" s="11"/>
      <c r="AC28" s="11"/>
      <c r="AD28" s="22">
        <f>IFERROR(s_TR/(up_RadSpec!G28*s_EF_w*s_ED_com*(s_ET_w_o+s_ET_w_i)*(1/24)*s_IRA_w),".")</f>
        <v>2.9090909090909094E-10</v>
      </c>
      <c r="AE28" s="22">
        <f>IFERROR(s_TR/(up_RadSpec!J28*s_EF_w*(1/365)*s_ED_com*(s_ET_w_o+s_ET_w_i)*(1/24)*s_GSF_a),".")</f>
        <v>6.3709090909090908E-6</v>
      </c>
      <c r="AF28" s="22">
        <f t="shared" si="6"/>
        <v>2.9089580799548386E-10</v>
      </c>
      <c r="AG28" s="43">
        <f t="shared" si="4"/>
        <v>34375</v>
      </c>
      <c r="AH28" s="43">
        <f t="shared" si="5"/>
        <v>1.5696347031963471</v>
      </c>
      <c r="AI28" s="10"/>
      <c r="AJ28" s="10"/>
      <c r="AK28" s="10"/>
    </row>
    <row r="29" spans="1:37" x14ac:dyDescent="0.25">
      <c r="A29" s="23" t="s">
        <v>39</v>
      </c>
      <c r="B29" s="24" t="s">
        <v>289</v>
      </c>
      <c r="C29" s="109"/>
      <c r="D29" s="22">
        <f>IFERROR((s_TR/(up_RadSpec!I29*s_EF_w*s_ED_com*s_IRS_w*(1/1000)))*1,".")</f>
        <v>7.272727272727274E-8</v>
      </c>
      <c r="E29" s="22">
        <f>IFERROR(IF(A29="H-3",(s_TR/(up_RadSpec!G29*s_EF_w*s_ED_com*(s_ET_w_o+s_ET_w_i)*(1/24)*s_IRA_w*(1/17)*1000))*1,(s_TR/(up_RadSpec!G29*s_EF_w*s_ED_com*(s_ET_w_o+s_ET_w_i)*(1/24)*s_IRA_w*(1/s_PEF_wind)*1000))*1),".")</f>
        <v>9.0250320889537203E-5</v>
      </c>
      <c r="F29" s="22">
        <f>IFERROR((s_TR/(up_RadSpec!F29*s_EF_w*(1/365)*s_ED_com*up_RadSpec!Q29*(s_ET_w_o+s_ET_w_i)*(1/24)*up_RadSpec!V29))*1,".")</f>
        <v>2.8286140089418798E-5</v>
      </c>
      <c r="G29" s="22">
        <f t="shared" si="0"/>
        <v>7.2482501711314093E-8</v>
      </c>
      <c r="H29" s="43">
        <f t="shared" si="1"/>
        <v>137.5</v>
      </c>
      <c r="I29" s="43">
        <f t="shared" si="2"/>
        <v>0.11080293013295324</v>
      </c>
      <c r="J29" s="43">
        <f>s_C*s_EF_w*(1/365)*s_ED_com*(s_ET_w_o+s_ET_w_i)*(1/24)*up_RadSpec!V29*up_RadSpec!Q29*1</f>
        <v>0.35353003161222324</v>
      </c>
      <c r="K29" s="4"/>
      <c r="L29" s="4"/>
      <c r="M29" s="4"/>
      <c r="N29" s="4"/>
      <c r="O29" s="22">
        <f>IFERROR((s_TR/(up_RadSpec!F29*s_EF_w*(1/365)*s_ED_com*up_RadSpec!Q29*(s_ET_w_o+s_ET_w_i)*(1/24)*up_RadSpec!V29))*1,".")</f>
        <v>2.8286140089418798E-5</v>
      </c>
      <c r="P29" s="22">
        <f>IFERROR((s_TR/(up_RadSpec!M29*s_EF_w*(1/365)*s_ED_com*up_RadSpec!R29*(s_ET_w_o+s_ET_w_i)*(1/24)*up_RadSpec!W29))*1,".")</f>
        <v>5.6444019138755966E-5</v>
      </c>
      <c r="Q29" s="22">
        <f>IFERROR((s_TR/(up_RadSpec!N29*s_EF_w*(1/365)*s_ED_com*up_RadSpec!S29*(s_ET_w_o+s_ET_w_i)*(1/24)*up_RadSpec!X29))*1,".")</f>
        <v>4.0210479175996424E-5</v>
      </c>
      <c r="R29" s="22">
        <f>IFERROR((s_TR/(up_RadSpec!O29*s_EF_w*(1/365)*s_ED_com*up_RadSpec!T29*(s_ET_w_o+s_ET_w_i)*(1/24)*up_RadSpec!Y29))*1,".")</f>
        <v>3.4108867132867117E-5</v>
      </c>
      <c r="S29" s="22">
        <f>IFERROR((s_TR/(up_RadSpec!K29*s_EF_w*(1/365)*s_ED_com*up_RadSpec!P29*(s_ET_w_o+s_ET_w_i)*(1/24)*up_RadSpec!U29))*1,".")</f>
        <v>1.0135537190082645E-4</v>
      </c>
      <c r="T29" s="43">
        <f>s_C*s_EF_w*(1/365)*s_ED_com*(s_ET_w_o+s_ET_w_i)*(1/24)*up_RadSpec!V29*up_RadSpec!Q29*1</f>
        <v>0.35353003161222324</v>
      </c>
      <c r="U29" s="43">
        <f>s_C*s_EF_w*(1/365)*s_ED_com*(s_ET_w_o+s_ET_w_i)*(1/24)*up_RadSpec!W29*up_RadSpec!R29*1</f>
        <v>0.17716668927166698</v>
      </c>
      <c r="V29" s="43">
        <f>s_C*s_EF_w*(1/365)*s_ED_com*(s_ET_w_o+s_ET_w_i)*(1/24)*up_RadSpec!X29*up_RadSpec!S29*1</f>
        <v>0.24869139102349933</v>
      </c>
      <c r="W29" s="43">
        <f>s_C*s_EF_w*(1/365)*s_ED_com*(s_ET_w_o+s_ET_w_i)*(1/24)*up_RadSpec!Y29*up_RadSpec!T29*1</f>
        <v>0.2931788957119616</v>
      </c>
      <c r="X29" s="43">
        <f>s_C*s_EF_w*(1/365)*s_ED_com*(s_ET_w_o+s_ET_w_i)*(1/24)*up_RadSpec!U29*up_RadSpec!P29*1</f>
        <v>9.8662752772341808E-2</v>
      </c>
      <c r="Y29" s="11"/>
      <c r="Z29" s="11"/>
      <c r="AA29" s="11"/>
      <c r="AB29" s="11"/>
      <c r="AC29" s="11"/>
      <c r="AD29" s="22">
        <f>IFERROR(s_TR/(up_RadSpec!G29*s_EF_w*s_ED_com*(s_ET_w_o+s_ET_w_i)*(1/24)*s_IRA_w),".")</f>
        <v>2.9090909090909094E-10</v>
      </c>
      <c r="AE29" s="22">
        <f>IFERROR(s_TR/(up_RadSpec!J29*s_EF_w*(1/365)*s_ED_com*(s_ET_w_o+s_ET_w_i)*(1/24)*s_GSF_a),".")</f>
        <v>6.3709090909090908E-6</v>
      </c>
      <c r="AF29" s="22">
        <f t="shared" si="6"/>
        <v>2.9089580799548386E-10</v>
      </c>
      <c r="AG29" s="43">
        <f t="shared" si="4"/>
        <v>34375</v>
      </c>
      <c r="AH29" s="43">
        <f t="shared" si="5"/>
        <v>1.5696347031963471</v>
      </c>
      <c r="AI29" s="10"/>
      <c r="AJ29" s="10"/>
      <c r="AK29" s="10"/>
    </row>
    <row r="30" spans="1:37" x14ac:dyDescent="0.25">
      <c r="A30" s="23" t="s">
        <v>40</v>
      </c>
      <c r="B30" s="24" t="s">
        <v>289</v>
      </c>
      <c r="C30" s="2"/>
      <c r="D30" s="22">
        <f>IFERROR((s_TR/(up_RadSpec!I30*s_EF_w*s_ED_com*s_IRS_w*(1/1000)))*1,".")</f>
        <v>7.272727272727274E-8</v>
      </c>
      <c r="E30" s="22">
        <f>IFERROR(IF(A30="H-3",(s_TR/(up_RadSpec!G30*s_EF_w*s_ED_com*(s_ET_w_o+s_ET_w_i)*(1/24)*s_IRA_w*(1/17)*1000))*1,(s_TR/(up_RadSpec!G30*s_EF_w*s_ED_com*(s_ET_w_o+s_ET_w_i)*(1/24)*s_IRA_w*(1/s_PEF_wind)*1000))*1),".")</f>
        <v>9.0250320889537203E-5</v>
      </c>
      <c r="F30" s="22">
        <f>IFERROR((s_TR/(up_RadSpec!F30*s_EF_w*(1/365)*s_ED_com*up_RadSpec!Q30*(s_ET_w_o+s_ET_w_i)*(1/24)*up_RadSpec!V30))*1,".")</f>
        <v>2.6545454545454545E-4</v>
      </c>
      <c r="G30" s="22">
        <f t="shared" si="0"/>
        <v>7.2648825646679828E-8</v>
      </c>
      <c r="H30" s="43">
        <f t="shared" si="1"/>
        <v>137.5</v>
      </c>
      <c r="I30" s="43">
        <f t="shared" si="2"/>
        <v>0.11080293013295324</v>
      </c>
      <c r="J30" s="43">
        <f>s_C*s_EF_w*(1/365)*s_ED_com*(s_ET_w_o+s_ET_w_i)*(1/24)*up_RadSpec!V30*up_RadSpec!Q30*1</f>
        <v>3.7671232876712334E-2</v>
      </c>
      <c r="K30" s="4"/>
      <c r="L30" s="4"/>
      <c r="M30" s="4"/>
      <c r="N30" s="4"/>
      <c r="O30" s="22">
        <f>IFERROR((s_TR/(up_RadSpec!F30*s_EF_w*(1/365)*s_ED_com*up_RadSpec!Q30*(s_ET_w_o+s_ET_w_i)*(1/24)*up_RadSpec!V30))*1,".")</f>
        <v>2.6545454545454545E-4</v>
      </c>
      <c r="P30" s="22">
        <f>IFERROR((s_TR/(up_RadSpec!M30*s_EF_w*(1/365)*s_ED_com*up_RadSpec!R30*(s_ET_w_o+s_ET_w_i)*(1/24)*up_RadSpec!W30))*1,".")</f>
        <v>1.3004536082474227E-3</v>
      </c>
      <c r="Q30" s="22">
        <f>IFERROR((s_TR/(up_RadSpec!N30*s_EF_w*(1/365)*s_ED_com*up_RadSpec!S30*(s_ET_w_o+s_ET_w_i)*(1/24)*up_RadSpec!X30))*1,".")</f>
        <v>4.6863931523022427E-4</v>
      </c>
      <c r="R30" s="22">
        <f>IFERROR((s_TR/(up_RadSpec!O30*s_EF_w*(1/365)*s_ED_com*up_RadSpec!T30*(s_ET_w_o+s_ET_w_i)*(1/24)*up_RadSpec!Y30))*1,".")</f>
        <v>3.4883160981632989E-4</v>
      </c>
      <c r="S30" s="22">
        <f>IFERROR((s_TR/(up_RadSpec!K30*s_EF_w*(1/365)*s_ED_com*up_RadSpec!P30*(s_ET_w_o+s_ET_w_i)*(1/24)*up_RadSpec!U30))*1,".")</f>
        <v>3.1854545454545455E-2</v>
      </c>
      <c r="T30" s="43">
        <f>s_C*s_EF_w*(1/365)*s_ED_com*(s_ET_w_o+s_ET_w_i)*(1/24)*up_RadSpec!V30*up_RadSpec!Q30*1</f>
        <v>3.7671232876712334E-2</v>
      </c>
      <c r="U30" s="43">
        <f>s_C*s_EF_w*(1/365)*s_ED_com*(s_ET_w_o+s_ET_w_i)*(1/24)*up_RadSpec!W30*up_RadSpec!R30*1</f>
        <v>7.6896245560629153E-3</v>
      </c>
      <c r="V30" s="43">
        <f>s_C*s_EF_w*(1/365)*s_ED_com*(s_ET_w_o+s_ET_w_i)*(1/24)*up_RadSpec!X30*up_RadSpec!S30*1</f>
        <v>2.1338371909935452E-2</v>
      </c>
      <c r="W30" s="43">
        <f>s_C*s_EF_w*(1/365)*s_ED_com*(s_ET_w_o+s_ET_w_i)*(1/24)*up_RadSpec!Y30*up_RadSpec!T30*1</f>
        <v>2.8667126827368931E-2</v>
      </c>
      <c r="X30" s="43">
        <f>s_C*s_EF_w*(1/365)*s_ED_com*(s_ET_w_o+s_ET_w_i)*(1/24)*up_RadSpec!U30*up_RadSpec!P30*1</f>
        <v>3.1392694063926945E-4</v>
      </c>
      <c r="Y30" s="11"/>
      <c r="Z30" s="11"/>
      <c r="AA30" s="11"/>
      <c r="AB30" s="11"/>
      <c r="AC30" s="11"/>
      <c r="AD30" s="22">
        <f>IFERROR(s_TR/(up_RadSpec!G30*s_EF_w*s_ED_com*(s_ET_w_o+s_ET_w_i)*(1/24)*s_IRA_w),".")</f>
        <v>2.9090909090909094E-10</v>
      </c>
      <c r="AE30" s="22">
        <f>IFERROR(s_TR/(up_RadSpec!J30*s_EF_w*(1/365)*s_ED_com*(s_ET_w_o+s_ET_w_i)*(1/24)*s_GSF_a),".")</f>
        <v>6.3709090909090908E-6</v>
      </c>
      <c r="AF30" s="22">
        <f t="shared" si="6"/>
        <v>2.9089580799548386E-10</v>
      </c>
      <c r="AG30" s="43">
        <f t="shared" si="4"/>
        <v>34375</v>
      </c>
      <c r="AH30" s="43">
        <f t="shared" si="5"/>
        <v>1.5696347031963471</v>
      </c>
      <c r="AI30" s="10"/>
      <c r="AJ30" s="10"/>
      <c r="AK30" s="10"/>
    </row>
    <row r="31" spans="1:37" x14ac:dyDescent="0.25">
      <c r="A31" s="26" t="s">
        <v>13</v>
      </c>
      <c r="B31" s="26" t="s">
        <v>289</v>
      </c>
      <c r="C31" s="110"/>
      <c r="D31" s="27">
        <f>1/SUM(1/D32,1/D33,1/D34,1/D35,1/D36,1/D37,1/D38,1/D39,1/D40,1/D41,1/D42,1/D43,1/D44)</f>
        <v>6.0607878842425897E-9</v>
      </c>
      <c r="E31" s="27">
        <f t="shared" ref="E31:G31" si="7">1/SUM(1/E32,1/E33,1/E34,1/E35,1/E36,1/E37,1/E38,1/E39,1/E40,1/E41,1/E42,1/E43,1/E44)</f>
        <v>7.5210857066993023E-6</v>
      </c>
      <c r="F31" s="27">
        <f>1/SUM(1/F32,1/F33,1/F34,1/F35,1/F36,1/F37,1/F38,1/F39,1/F40,1/F41,1/F42,1/F43)</f>
        <v>1.0793276001335158E-5</v>
      </c>
      <c r="G31" s="28">
        <f t="shared" si="7"/>
        <v>6.0525118419879811E-9</v>
      </c>
      <c r="H31" s="45"/>
      <c r="I31" s="45"/>
      <c r="J31" s="45"/>
      <c r="K31" s="46">
        <f>IFERROR(IF(SUM(H32:H44)&gt;0.01,1-EXP(-SUM(H32:H44)),SUM(H32:H44)),".")</f>
        <v>1</v>
      </c>
      <c r="L31" s="46">
        <f>IFERROR(IF(SUM(I32:I44)&gt;0.01,1-EXP(-SUM(I32:I44)),SUM(I32:I44)),".")</f>
        <v>0.99870335661177012</v>
      </c>
      <c r="M31" s="46">
        <f>IFERROR(IF(SUM(J32:J44)&gt;0.01,1-EXP(-SUM(J32:J44)),SUM(J32:J44)),".")</f>
        <v>0.99026973159471821</v>
      </c>
      <c r="N31" s="46">
        <f>IFERROR(IF(SUM(H32:J44)&gt;0.01,1-EXP(-SUM(H32:J44)),SUM(H32:J44)),".")</f>
        <v>1</v>
      </c>
      <c r="O31" s="27">
        <f t="shared" ref="O31:S31" si="8">1/SUM(1/O32,1/O33,1/O34,1/O35,1/O36,1/O37,1/O38,1/O39,1/O40,1/O41,1/O42,1/O43)</f>
        <v>1.0793276001335158E-5</v>
      </c>
      <c r="P31" s="27">
        <f t="shared" si="8"/>
        <v>1.9946413406993451E-5</v>
      </c>
      <c r="Q31" s="27">
        <f t="shared" si="8"/>
        <v>1.4093181289924032E-5</v>
      </c>
      <c r="R31" s="27">
        <f t="shared" si="8"/>
        <v>1.2243001143509865E-5</v>
      </c>
      <c r="S31" s="27">
        <f t="shared" si="8"/>
        <v>4.2138527700560429E-5</v>
      </c>
      <c r="T31" s="45"/>
      <c r="U31" s="37"/>
      <c r="V31" s="37"/>
      <c r="W31" s="37"/>
      <c r="X31" s="37"/>
      <c r="Y31" s="46">
        <f>IFERROR(IF(SUM(T32:T44)&gt;0.01,1-EXP(-SUM(T32:T44)),SUM(T32:T44)),".")</f>
        <v>0.99026973159471821</v>
      </c>
      <c r="Z31" s="46">
        <f t="shared" ref="Z31:AC31" si="9">IFERROR(IF(SUM(U32:U44)&gt;0.01,1-EXP(-SUM(U32:U44)),SUM(U32:U44)),".")</f>
        <v>0.91846446319548081</v>
      </c>
      <c r="AA31" s="46">
        <f t="shared" si="9"/>
        <v>0.97121252843391126</v>
      </c>
      <c r="AB31" s="46">
        <f t="shared" si="9"/>
        <v>0.98315945600031318</v>
      </c>
      <c r="AC31" s="46">
        <f t="shared" si="9"/>
        <v>0.69473119924117654</v>
      </c>
      <c r="AD31" s="27">
        <f t="shared" ref="AD31:AF31" si="10">1/SUM(1/AD32,1/AD33,1/AD34,1/AD35,1/AD36,1/AD37,1/AD38,1/AD39,1/AD40,1/AD41,1/AD42,1/AD43,1/AD44)</f>
        <v>2.4243151536970355E-11</v>
      </c>
      <c r="AE31" s="27">
        <f t="shared" si="10"/>
        <v>5.3092501865965061E-7</v>
      </c>
      <c r="AF31" s="28">
        <f t="shared" si="10"/>
        <v>2.4242044594294818E-11</v>
      </c>
      <c r="AG31" s="45"/>
      <c r="AH31" s="45"/>
      <c r="AI31" s="46">
        <f>IFERROR(IF(SUM(AG32:AG44)&gt;0.01,1-EXP(-SUM(AG32:AG44)),SUM(AG32:AG44)),".")</f>
        <v>1</v>
      </c>
      <c r="AJ31" s="46">
        <f>IFERROR(IF(SUM(AH32:AH44)&gt;0.01,1-EXP(-SUM(AH32:AH44)),SUM(AH32:AH44)),".")</f>
        <v>1</v>
      </c>
      <c r="AK31" s="46">
        <f>IFERROR(IF(SUM(AG32:AH44)&gt;0.01,1-EXP(-SUM(AG32:AH44)),SUM(AG32:AH44)),".")</f>
        <v>1</v>
      </c>
    </row>
    <row r="32" spans="1:37" x14ac:dyDescent="0.25">
      <c r="A32" s="29" t="s">
        <v>290</v>
      </c>
      <c r="B32" s="24">
        <v>1</v>
      </c>
      <c r="C32" s="2"/>
      <c r="D32" s="30">
        <f>IFERROR(D3/$B32,0)</f>
        <v>7.272727272727274E-8</v>
      </c>
      <c r="E32" s="30">
        <f>IFERROR(E3/$B32,0)</f>
        <v>9.0250320889537203E-5</v>
      </c>
      <c r="F32" s="30">
        <f>IFERROR(F3/$B32,0)</f>
        <v>2.2184415584415595E-2</v>
      </c>
      <c r="G32" s="30">
        <f>IF(AND(D32&lt;&gt;0,E32&lt;&gt;0,F32&lt;&gt;0),1/((1/D32)+(1/E32)+(1/F32)),IF(AND(D32&lt;&gt;0,E32&lt;&gt;0,F32=0), 1/((1/D32)+(1/E32)),IF(AND(D32&lt;&gt;0,E32=0,F32&lt;&gt;0),1/((1/D32)+(1/F32)),IF(AND(D32=0,E32&lt;&gt;0,F32&lt;&gt;0),1/((1/E32)+(1/F32)),IF(AND(D32&lt;&gt;0,E32=0,F32=0),1/((1/D32)),IF(AND(D32=0,E32&lt;&gt;0,F32=0),1/((1/E32)),IF(AND(D32=0,E32=0,F32&lt;&gt;0),1/((1/F32)),IF(AND(D32=0,E32=0,F32=0),0))))))))</f>
        <v>7.2668475370604101E-8</v>
      </c>
      <c r="H32" s="38">
        <f>IFERROR(up_RadSpec!$I$3*H3,".")*$B$32</f>
        <v>687.5</v>
      </c>
      <c r="I32" s="38">
        <f>IFERROR(up_RadSpec!$G$3*I3,".")*$B$32</f>
        <v>0.55401465066476618</v>
      </c>
      <c r="J32" s="38">
        <f>IFERROR(up_RadSpec!$F$3*J3,".")*$B$32</f>
        <v>2.2538344456152666E-3</v>
      </c>
      <c r="K32" s="47">
        <f t="shared" ref="K32:M44" si="11">IFERROR(IF(H32&gt;0.01,1-EXP(-H32),H32),".")</f>
        <v>1</v>
      </c>
      <c r="L32" s="47">
        <f t="shared" si="11"/>
        <v>0.42536179830386023</v>
      </c>
      <c r="M32" s="47">
        <f t="shared" si="11"/>
        <v>2.2538344456152666E-3</v>
      </c>
      <c r="N32" s="47">
        <f>IFERROR(IF(SUM(H32:J32)&gt;0.01,1-EXP(-SUM(H32:J32)),SUM(H32:J32)),".")</f>
        <v>1</v>
      </c>
      <c r="O32" s="30">
        <f t="shared" ref="O32:S32" si="12">IFERROR(O3/$B32,0)</f>
        <v>2.2184415584415595E-2</v>
      </c>
      <c r="P32" s="30">
        <f t="shared" si="12"/>
        <v>3.1106175132324276E-2</v>
      </c>
      <c r="Q32" s="30">
        <f t="shared" si="12"/>
        <v>2.3582923154193879E-2</v>
      </c>
      <c r="R32" s="30">
        <f t="shared" si="12"/>
        <v>2.4309683536802174E-2</v>
      </c>
      <c r="S32" s="30">
        <f t="shared" si="12"/>
        <v>4.8228185429946425E-2</v>
      </c>
      <c r="T32" s="38">
        <f>IFERROR(up_RadSpec!$F$3*T3,".")*$B$32</f>
        <v>2.2538344456152666E-3</v>
      </c>
      <c r="U32" s="38">
        <f>IFERROR(up_RadSpec!$M$3*U3,".")*$B$32</f>
        <v>1.6073978812021167E-3</v>
      </c>
      <c r="V32" s="38">
        <f>IFERROR(up_RadSpec!$N$3*V3,".")*$B$32</f>
        <v>2.120178218496558E-3</v>
      </c>
      <c r="W32" s="38">
        <f>IFERROR(up_RadSpec!$O$3*W3,".")*$B$32</f>
        <v>2.0567935376166265E-3</v>
      </c>
      <c r="X32" s="38">
        <f>IFERROR(up_RadSpec!$K$3*X3,".")*$B$32</f>
        <v>1.036738155380679E-3</v>
      </c>
      <c r="Y32" s="47">
        <f>IFERROR(IF(T32&gt;0.01,1-EXP(-T32),T32),".")</f>
        <v>2.2538344456152666E-3</v>
      </c>
      <c r="Z32" s="47">
        <f t="shared" ref="Z32:AC44" si="13">IFERROR(IF(U32&gt;0.01,1-EXP(-U32),U32),".")</f>
        <v>1.6073978812021167E-3</v>
      </c>
      <c r="AA32" s="47">
        <f t="shared" si="13"/>
        <v>2.120178218496558E-3</v>
      </c>
      <c r="AB32" s="47">
        <f t="shared" si="13"/>
        <v>2.0567935376166265E-3</v>
      </c>
      <c r="AC32" s="47">
        <f t="shared" si="13"/>
        <v>1.036738155380679E-3</v>
      </c>
      <c r="AD32" s="30">
        <f t="shared" ref="AD32:AF32" si="14">IFERROR(AD3/$B32,0)</f>
        <v>2.9090909090909094E-10</v>
      </c>
      <c r="AE32" s="30">
        <f t="shared" si="14"/>
        <v>6.3709090909090908E-6</v>
      </c>
      <c r="AF32" s="30">
        <f t="shared" si="14"/>
        <v>2.9089580799548386E-10</v>
      </c>
      <c r="AG32" s="38">
        <f>IFERROR(up_RadSpec!$G$3*AG3,".")*$B$32</f>
        <v>171875</v>
      </c>
      <c r="AH32" s="38">
        <f>IFERROR(up_RadSpec!$J$3*AH3,".")*$B$32</f>
        <v>7.8481735159817356</v>
      </c>
      <c r="AI32" s="47">
        <f>IFERROR(IF(AG32&gt;0.01,1-EXP(-AG32),AG32),".")</f>
        <v>1</v>
      </c>
      <c r="AJ32" s="47">
        <f>IFERROR(IF(AH32&gt;0.01,1-EXP(-AH32),AH32),".")</f>
        <v>0.99960953550549536</v>
      </c>
      <c r="AK32" s="47">
        <f>IFERROR(IF(SUM(AG32:AH32)&gt;0.01,1-EXP(-SUM(AG32:AH32)),SUM(AG32:AH32)),".")</f>
        <v>1</v>
      </c>
    </row>
    <row r="33" spans="1:37" x14ac:dyDescent="0.25">
      <c r="A33" s="29" t="s">
        <v>291</v>
      </c>
      <c r="B33" s="24">
        <v>1</v>
      </c>
      <c r="C33" s="2"/>
      <c r="D33" s="30">
        <f t="shared" ref="D33:F34" si="15">IFERROR(D13/$B33,0)</f>
        <v>7.272727272727274E-8</v>
      </c>
      <c r="E33" s="30">
        <f t="shared" si="15"/>
        <v>9.0250320889537203E-5</v>
      </c>
      <c r="F33" s="30">
        <f t="shared" si="15"/>
        <v>5.4790618044855369E-4</v>
      </c>
      <c r="G33" s="30">
        <f>IF(AND(D33&lt;&gt;0,E33&lt;&gt;0,F33&lt;&gt;0),1/((1/D33)+(1/E33)+(1/F33)),IF(AND(D33&lt;&gt;0,E33&lt;&gt;0,F33=0), 1/((1/D33)+(1/E33)),IF(AND(D33&lt;&gt;0,E33=0,F33&lt;&gt;0),1/((1/D33)+(1/F33)),IF(AND(D33=0,E33&lt;&gt;0,F33&lt;&gt;0),1/((1/E33)+(1/F33)),IF(AND(D33&lt;&gt;0,E33=0,F33=0),1/((1/D33)),IF(AND(D33=0,E33&lt;&gt;0,F33=0),1/((1/E33)),IF(AND(D33=0,E33=0,F33&lt;&gt;0),1/((1/F33)),IF(AND(D33=0,E33=0,F33=0),0))))))))</f>
        <v>7.2659076645896279E-8</v>
      </c>
      <c r="H33" s="38">
        <f>IFERROR(up_RadSpec!$I$13*H13,".")*$B$33</f>
        <v>687.5</v>
      </c>
      <c r="I33" s="38">
        <f>IFERROR(up_RadSpec!$G$13*I13,".")*$B$33</f>
        <v>0.55401465066476618</v>
      </c>
      <c r="J33" s="38">
        <f>IFERROR(up_RadSpec!$F$13*J13,".")*$B$33</f>
        <v>9.125649935006494E-2</v>
      </c>
      <c r="K33" s="47">
        <f t="shared" si="11"/>
        <v>1</v>
      </c>
      <c r="L33" s="47">
        <f t="shared" si="11"/>
        <v>0.42536179830386023</v>
      </c>
      <c r="M33" s="47">
        <f t="shared" si="11"/>
        <v>8.721644751815294E-2</v>
      </c>
      <c r="N33" s="47">
        <f t="shared" ref="N33:N44" si="16">IFERROR(IF(SUM(H33:J33)&gt;0.01,1-EXP(-SUM(H33:J33)),SUM(H33:J33)),".")</f>
        <v>1</v>
      </c>
      <c r="O33" s="30">
        <f t="shared" ref="O33:S34" si="17">IFERROR(O13/$B33,0)</f>
        <v>5.4790618044855369E-4</v>
      </c>
      <c r="P33" s="30">
        <f t="shared" si="17"/>
        <v>1.1948632373213381E-3</v>
      </c>
      <c r="Q33" s="30">
        <f t="shared" si="17"/>
        <v>7.0985979194934407E-4</v>
      </c>
      <c r="R33" s="30">
        <f t="shared" si="17"/>
        <v>5.8600282168498098E-4</v>
      </c>
      <c r="S33" s="30">
        <f t="shared" si="17"/>
        <v>1.1495129870129867E-2</v>
      </c>
      <c r="T33" s="38">
        <f>IFERROR(up_RadSpec!$F$13*T13,".")*$B$33</f>
        <v>9.125649935006494E-2</v>
      </c>
      <c r="U33" s="38">
        <f>IFERROR(up_RadSpec!$M$13*U13,".")*$B$33</f>
        <v>4.1845793257553679E-2</v>
      </c>
      <c r="V33" s="38">
        <f>IFERROR(up_RadSpec!$N$13*V13,".")*$B$33</f>
        <v>7.0436444727620284E-2</v>
      </c>
      <c r="W33" s="38">
        <f>IFERROR(up_RadSpec!$O$13*W13,".")*$B$33</f>
        <v>8.5323821233882477E-2</v>
      </c>
      <c r="X33" s="38">
        <f>IFERROR(up_RadSpec!$K$13*X13,".")*$B$33</f>
        <v>4.34966812597091E-3</v>
      </c>
      <c r="Y33" s="47">
        <f t="shared" ref="Y33:Y44" si="18">IFERROR(IF(T33&gt;0.01,1-EXP(-T33),T33),".")</f>
        <v>8.721644751815294E-2</v>
      </c>
      <c r="Z33" s="47">
        <f t="shared" si="13"/>
        <v>4.0982343840809898E-2</v>
      </c>
      <c r="AA33" s="47">
        <f t="shared" si="13"/>
        <v>6.8013029670680902E-2</v>
      </c>
      <c r="AB33" s="47">
        <f t="shared" si="13"/>
        <v>8.1785101227324408E-2</v>
      </c>
      <c r="AC33" s="47">
        <f t="shared" si="13"/>
        <v>4.34966812597091E-3</v>
      </c>
      <c r="AD33" s="30">
        <f t="shared" ref="AD33:AF34" si="19">IFERROR(AD13/$B33,0)</f>
        <v>2.9090909090909094E-10</v>
      </c>
      <c r="AE33" s="30">
        <f t="shared" si="19"/>
        <v>6.3709090909090908E-6</v>
      </c>
      <c r="AF33" s="30">
        <f t="shared" si="19"/>
        <v>2.9089580799548386E-10</v>
      </c>
      <c r="AG33" s="38">
        <f>IFERROR(up_RadSpec!$G$13*AG13,".")*$B$33</f>
        <v>171875</v>
      </c>
      <c r="AH33" s="38">
        <f>IFERROR(up_RadSpec!$J$13*AH13,".")*$B$33</f>
        <v>7.8481735159817356</v>
      </c>
      <c r="AI33" s="47">
        <f t="shared" ref="AI33:AJ44" si="20">IFERROR(IF(AG33&gt;0.01,1-EXP(-AG33),AG33),".")</f>
        <v>1</v>
      </c>
      <c r="AJ33" s="47">
        <f t="shared" si="20"/>
        <v>0.99960953550549536</v>
      </c>
      <c r="AK33" s="47">
        <f t="shared" ref="AK33:AK44" si="21">IFERROR(IF(SUM(AG33:AH33)&gt;0.01,1-EXP(-SUM(AG33:AH33)),SUM(AG33:AH33)),".")</f>
        <v>1</v>
      </c>
    </row>
    <row r="34" spans="1:37" x14ac:dyDescent="0.25">
      <c r="A34" s="29" t="s">
        <v>292</v>
      </c>
      <c r="B34" s="24">
        <v>1</v>
      </c>
      <c r="C34" s="2"/>
      <c r="D34" s="30">
        <f t="shared" si="15"/>
        <v>7.272727272727274E-8</v>
      </c>
      <c r="E34" s="30">
        <f t="shared" si="15"/>
        <v>9.0250320889537203E-5</v>
      </c>
      <c r="F34" s="30">
        <f t="shared" si="15"/>
        <v>8.2250179434746663E-5</v>
      </c>
      <c r="G34" s="30">
        <f>IF(AND(D34&lt;&gt;0,E34&lt;&gt;0,F34&lt;&gt;0),1/((1/D34)+(1/E34)+(1/F34)),IF(AND(D34&lt;&gt;0,E34&lt;&gt;0,F34=0), 1/((1/D34)+(1/E34)),IF(AND(D34&lt;&gt;0,E34=0,F34&lt;&gt;0),1/((1/D34)+(1/F34)),IF(AND(D34=0,E34&lt;&gt;0,F34&lt;&gt;0),1/((1/E34)+(1/F34)),IF(AND(D34&lt;&gt;0,E34=0,F34=0),1/((1/D34)),IF(AND(D34=0,E34&lt;&gt;0,F34=0),1/((1/E34)),IF(AND(D34=0,E34=0,F34&lt;&gt;0),1/((1/F34)),IF(AND(D34=0,E34=0,F34=0),0))))))))</f>
        <v>7.2604566673381434E-8</v>
      </c>
      <c r="H34" s="38">
        <f>IFERROR(up_RadSpec!$I$14*H14,".")*$B$34</f>
        <v>687.5</v>
      </c>
      <c r="I34" s="38">
        <f>IFERROR(up_RadSpec!$G$14*I14,".")*$B$33</f>
        <v>0.55401465066476618</v>
      </c>
      <c r="J34" s="38">
        <f>IFERROR(up_RadSpec!$F$14*J14,".")*$B$33</f>
        <v>0.60790140937829329</v>
      </c>
      <c r="K34" s="47">
        <f t="shared" si="11"/>
        <v>1</v>
      </c>
      <c r="L34" s="47">
        <f t="shared" si="11"/>
        <v>0.42536179830386023</v>
      </c>
      <c r="M34" s="47">
        <f t="shared" si="11"/>
        <v>0.45550766256889696</v>
      </c>
      <c r="N34" s="47">
        <f t="shared" si="16"/>
        <v>1</v>
      </c>
      <c r="O34" s="30">
        <f t="shared" si="17"/>
        <v>8.2250179434746663E-5</v>
      </c>
      <c r="P34" s="30">
        <f t="shared" si="17"/>
        <v>1.4937483186060481E-4</v>
      </c>
      <c r="Q34" s="30">
        <f t="shared" si="17"/>
        <v>1.1043933455751371E-4</v>
      </c>
      <c r="R34" s="30">
        <f t="shared" si="17"/>
        <v>9.6777614763226299E-5</v>
      </c>
      <c r="S34" s="30">
        <f t="shared" si="17"/>
        <v>4.1679600886917979E-4</v>
      </c>
      <c r="T34" s="38">
        <f>IFERROR(up_RadSpec!$F$14*T14,".")*$B$33</f>
        <v>0.60790140937829329</v>
      </c>
      <c r="U34" s="38">
        <f>IFERROR(up_RadSpec!$M$14*U14,".")*$B$33</f>
        <v>0.33472841024958977</v>
      </c>
      <c r="V34" s="38">
        <f>IFERROR(up_RadSpec!$N$14*V14,".")*$B$33</f>
        <v>0.45273724439150259</v>
      </c>
      <c r="W34" s="38">
        <f>IFERROR(up_RadSpec!$O$14*W14,".")*$B$33</f>
        <v>0.51664840182648397</v>
      </c>
      <c r="X34" s="38">
        <f>IFERROR(up_RadSpec!$K$14*X14,".")*$B$33</f>
        <v>0.11996276100545283</v>
      </c>
      <c r="Y34" s="47">
        <f t="shared" si="18"/>
        <v>0.45550766256889696</v>
      </c>
      <c r="Z34" s="47">
        <f t="shared" si="13"/>
        <v>0.28446760877069655</v>
      </c>
      <c r="AA34" s="47">
        <f t="shared" si="13"/>
        <v>0.3641148059214776</v>
      </c>
      <c r="AB34" s="47">
        <f t="shared" si="13"/>
        <v>0.40348351512626879</v>
      </c>
      <c r="AC34" s="47">
        <f t="shared" si="13"/>
        <v>0.11304653464256298</v>
      </c>
      <c r="AD34" s="30">
        <f t="shared" si="19"/>
        <v>2.9090909090909094E-10</v>
      </c>
      <c r="AE34" s="30">
        <f t="shared" si="19"/>
        <v>6.3709090909090908E-6</v>
      </c>
      <c r="AF34" s="30">
        <f t="shared" si="19"/>
        <v>2.9089580799548386E-10</v>
      </c>
      <c r="AG34" s="38">
        <f>IFERROR(up_RadSpec!$G$14*AG14,".")*$B$33</f>
        <v>171875</v>
      </c>
      <c r="AH34" s="38">
        <f>IFERROR(up_RadSpec!$J$14*AH14,".")*$B$33</f>
        <v>7.8481735159817356</v>
      </c>
      <c r="AI34" s="47">
        <f t="shared" si="20"/>
        <v>1</v>
      </c>
      <c r="AJ34" s="47">
        <f t="shared" si="20"/>
        <v>0.99960953550549536</v>
      </c>
      <c r="AK34" s="47">
        <f t="shared" si="21"/>
        <v>1</v>
      </c>
    </row>
    <row r="35" spans="1:37" x14ac:dyDescent="0.25">
      <c r="A35" s="29" t="s">
        <v>293</v>
      </c>
      <c r="B35" s="24">
        <v>1</v>
      </c>
      <c r="C35" s="2"/>
      <c r="D35" s="30">
        <f>IFERROR(D30/$B35,0)</f>
        <v>7.272727272727274E-8</v>
      </c>
      <c r="E35" s="30">
        <f>IFERROR(E30/$B35,0)</f>
        <v>9.0250320889537203E-5</v>
      </c>
      <c r="F35" s="30">
        <f>IFERROR(F30/$B35,0)</f>
        <v>2.6545454545454545E-4</v>
      </c>
      <c r="G35" s="30">
        <f t="shared" ref="G35:G61" si="22">IF(AND(D35&lt;&gt;0,E35&lt;&gt;0,F35&lt;&gt;0),1/((1/D35)+(1/E35)+(1/F35)),IF(AND(D35&lt;&gt;0,E35&lt;&gt;0,F35=0), 1/((1/D35)+(1/E35)),IF(AND(D35&lt;&gt;0,E35=0,F35&lt;&gt;0),1/((1/D35)+(1/F35)),IF(AND(D35=0,E35&lt;&gt;0,F35&lt;&gt;0),1/((1/E35)+(1/F35)),IF(AND(D35&lt;&gt;0,E35=0,F35=0),1/((1/D35)),IF(AND(D35=0,E35&lt;&gt;0,F35=0),1/((1/E35)),IF(AND(D35=0,E35=0,F35&lt;&gt;0),1/((1/F35)),IF(AND(D35=0,E35=0,F35=0),0))))))))</f>
        <v>7.2648825646679828E-8</v>
      </c>
      <c r="H35" s="38">
        <f>IFERROR(up_RadSpec!$I$30*H30,".")*$B$35</f>
        <v>687.5</v>
      </c>
      <c r="I35" s="38">
        <f>IFERROR(up_RadSpec!$G$30*I30,".")*$B$35</f>
        <v>0.55401465066476618</v>
      </c>
      <c r="J35" s="38">
        <f>IFERROR(up_RadSpec!$F$30*J30,".")*$B$35</f>
        <v>0.18835616438356168</v>
      </c>
      <c r="K35" s="47">
        <f t="shared" si="11"/>
        <v>1</v>
      </c>
      <c r="L35" s="47">
        <f t="shared" si="11"/>
        <v>0.42536179830386023</v>
      </c>
      <c r="M35" s="47">
        <f t="shared" si="11"/>
        <v>0.17168036326381109</v>
      </c>
      <c r="N35" s="47">
        <f t="shared" si="16"/>
        <v>1</v>
      </c>
      <c r="O35" s="30">
        <f t="shared" ref="O35:S35" si="23">IFERROR(O30/$B35,0)</f>
        <v>2.6545454545454545E-4</v>
      </c>
      <c r="P35" s="30">
        <f t="shared" si="23"/>
        <v>1.3004536082474227E-3</v>
      </c>
      <c r="Q35" s="30">
        <f t="shared" si="23"/>
        <v>4.6863931523022427E-4</v>
      </c>
      <c r="R35" s="30">
        <f t="shared" si="23"/>
        <v>3.4883160981632989E-4</v>
      </c>
      <c r="S35" s="30">
        <f t="shared" si="23"/>
        <v>3.1854545454545455E-2</v>
      </c>
      <c r="T35" s="38">
        <f>IFERROR(up_RadSpec!$F$30*T30,".")*$B$35</f>
        <v>0.18835616438356168</v>
      </c>
      <c r="U35" s="38">
        <f>IFERROR(up_RadSpec!$M$30*U30,".")*$B$35</f>
        <v>3.8448122780314578E-2</v>
      </c>
      <c r="V35" s="38">
        <f>IFERROR(up_RadSpec!$N$30*V30,".")*$B$35</f>
        <v>0.10669185954967726</v>
      </c>
      <c r="W35" s="38">
        <f>IFERROR(up_RadSpec!$O$30*W30,".")*$B$35</f>
        <v>0.14333563413684466</v>
      </c>
      <c r="X35" s="38">
        <f>IFERROR(up_RadSpec!$K$30*X30,".")*$B$35</f>
        <v>1.5696347031963474E-3</v>
      </c>
      <c r="Y35" s="47">
        <f t="shared" si="18"/>
        <v>0.17168036326381109</v>
      </c>
      <c r="Z35" s="47">
        <f t="shared" si="13"/>
        <v>3.7718376059823977E-2</v>
      </c>
      <c r="AA35" s="47">
        <f t="shared" si="13"/>
        <v>0.10119741224206324</v>
      </c>
      <c r="AB35" s="47">
        <f t="shared" si="13"/>
        <v>0.13353679454370126</v>
      </c>
      <c r="AC35" s="47">
        <f t="shared" si="13"/>
        <v>1.5696347031963474E-3</v>
      </c>
      <c r="AD35" s="30">
        <f t="shared" ref="AD35:AF35" si="24">IFERROR(AD30/$B35,0)</f>
        <v>2.9090909090909094E-10</v>
      </c>
      <c r="AE35" s="30">
        <f t="shared" si="24"/>
        <v>6.3709090909090908E-6</v>
      </c>
      <c r="AF35" s="30">
        <f t="shared" si="24"/>
        <v>2.9089580799548386E-10</v>
      </c>
      <c r="AG35" s="38">
        <f>IFERROR(up_RadSpec!$G$30*AG30,".")*$B$35</f>
        <v>171875</v>
      </c>
      <c r="AH35" s="38">
        <f>IFERROR(up_RadSpec!$J$30*AH30,".")*$B$35</f>
        <v>7.8481735159817356</v>
      </c>
      <c r="AI35" s="47">
        <f t="shared" si="20"/>
        <v>1</v>
      </c>
      <c r="AJ35" s="47">
        <f t="shared" si="20"/>
        <v>0.99960953550549536</v>
      </c>
      <c r="AK35" s="47">
        <f t="shared" si="21"/>
        <v>1</v>
      </c>
    </row>
    <row r="36" spans="1:37" x14ac:dyDescent="0.25">
      <c r="A36" s="29" t="s">
        <v>294</v>
      </c>
      <c r="B36" s="24">
        <v>1</v>
      </c>
      <c r="C36" s="2"/>
      <c r="D36" s="30">
        <f>IFERROR(D26/$B36,0)</f>
        <v>7.272727272727274E-8</v>
      </c>
      <c r="E36" s="30">
        <f>IFERROR(E26/$B36,0)</f>
        <v>9.0250320889537203E-5</v>
      </c>
      <c r="F36" s="30">
        <f>IFERROR(F26/$B36,0)</f>
        <v>2.7899814471243033E-4</v>
      </c>
      <c r="G36" s="30">
        <f t="shared" si="22"/>
        <v>7.2649790820603426E-8</v>
      </c>
      <c r="H36" s="38">
        <f>IFERROR(up_RadSpec!$I$26*H26,".")*$B$37</f>
        <v>687.5</v>
      </c>
      <c r="I36" s="38">
        <f>IFERROR(up_RadSpec!$G$26*I26,".")*$B$37</f>
        <v>0.55401465066476618</v>
      </c>
      <c r="J36" s="38">
        <f>IFERROR(up_RadSpec!$F$26*J26,".")*$B$37</f>
        <v>0.17921266125814611</v>
      </c>
      <c r="K36" s="47">
        <f t="shared" si="11"/>
        <v>1</v>
      </c>
      <c r="L36" s="47">
        <f t="shared" si="11"/>
        <v>0.42536179830386023</v>
      </c>
      <c r="M36" s="47">
        <f t="shared" si="11"/>
        <v>0.16407188903044823</v>
      </c>
      <c r="N36" s="47">
        <f t="shared" si="16"/>
        <v>1</v>
      </c>
      <c r="O36" s="30">
        <f t="shared" ref="O36:S36" si="25">IFERROR(O26/$B36,0)</f>
        <v>2.7899814471243033E-4</v>
      </c>
      <c r="P36" s="30">
        <f t="shared" si="25"/>
        <v>5.0938165204298855E-4</v>
      </c>
      <c r="Q36" s="30">
        <f t="shared" si="25"/>
        <v>3.681714832535885E-4</v>
      </c>
      <c r="R36" s="30">
        <f t="shared" si="25"/>
        <v>3.149256198347106E-4</v>
      </c>
      <c r="S36" s="30">
        <f t="shared" si="25"/>
        <v>2.9689496050264632E-3</v>
      </c>
      <c r="T36" s="38">
        <f>IFERROR(up_RadSpec!$F$26*T26,".")*$B$37</f>
        <v>0.17921266125814611</v>
      </c>
      <c r="U36" s="38">
        <f>IFERROR(up_RadSpec!$M$26*U26,".")*$B$37</f>
        <v>9.8158227332028683E-2</v>
      </c>
      <c r="V36" s="38">
        <f>IFERROR(up_RadSpec!$N$26*V26,".")*$B$37</f>
        <v>0.13580628124194263</v>
      </c>
      <c r="W36" s="38">
        <f>IFERROR(up_RadSpec!$O$26*W26,".")*$B$37</f>
        <v>0.15876764813940072</v>
      </c>
      <c r="X36" s="38">
        <f>IFERROR(up_RadSpec!$K$26*X26,".")*$B$37</f>
        <v>1.6840972953986649E-2</v>
      </c>
      <c r="Y36" s="47">
        <f t="shared" si="18"/>
        <v>0.16407188903044823</v>
      </c>
      <c r="Z36" s="47">
        <f t="shared" si="13"/>
        <v>9.3494541534424935E-2</v>
      </c>
      <c r="AA36" s="47">
        <f t="shared" si="13"/>
        <v>0.12698826514191375</v>
      </c>
      <c r="AB36" s="47">
        <f t="shared" si="13"/>
        <v>0.14680542271247188</v>
      </c>
      <c r="AC36" s="47">
        <f t="shared" si="13"/>
        <v>1.6699956496801227E-2</v>
      </c>
      <c r="AD36" s="30">
        <f t="shared" ref="AD36:AF36" si="26">IFERROR(AD26/$B36,0)</f>
        <v>2.9090909090909094E-10</v>
      </c>
      <c r="AE36" s="30">
        <f t="shared" si="26"/>
        <v>6.3709090909090908E-6</v>
      </c>
      <c r="AF36" s="30">
        <f t="shared" si="26"/>
        <v>2.9089580799548386E-10</v>
      </c>
      <c r="AG36" s="38">
        <f>IFERROR(up_RadSpec!$G$26*AG26,".")*$B$37</f>
        <v>171875</v>
      </c>
      <c r="AH36" s="38">
        <f>IFERROR(up_RadSpec!$J$26*AH26,".")*$B$37</f>
        <v>7.8481735159817356</v>
      </c>
      <c r="AI36" s="47">
        <f t="shared" si="20"/>
        <v>1</v>
      </c>
      <c r="AJ36" s="47">
        <f t="shared" si="20"/>
        <v>0.99960953550549536</v>
      </c>
      <c r="AK36" s="47">
        <f t="shared" si="21"/>
        <v>1</v>
      </c>
    </row>
    <row r="37" spans="1:37" x14ac:dyDescent="0.25">
      <c r="A37" s="29" t="s">
        <v>295</v>
      </c>
      <c r="B37" s="24">
        <v>1</v>
      </c>
      <c r="C37" s="2"/>
      <c r="D37" s="30">
        <f>IFERROR(D22/$B37,0)</f>
        <v>7.272727272727274E-8</v>
      </c>
      <c r="E37" s="30">
        <f>IFERROR(E22/$B37,0)</f>
        <v>9.0250320889537203E-5</v>
      </c>
      <c r="F37" s="30">
        <f>IFERROR(F22/$B37,0)</f>
        <v>152.850439882698</v>
      </c>
      <c r="G37" s="30">
        <f t="shared" si="22"/>
        <v>7.2668713373636177E-8</v>
      </c>
      <c r="H37" s="38">
        <f>IFERROR(up_RadSpec!$I$22*H22,".")*$B$37</f>
        <v>687.5</v>
      </c>
      <c r="I37" s="38">
        <f>IFERROR(up_RadSpec!$G$22*I22,".")*$B$37</f>
        <v>0.55401465066476618</v>
      </c>
      <c r="J37" s="38">
        <f>IFERROR(up_RadSpec!$F$22*J22,".")*$B$37</f>
        <v>3.2711714822915461E-7</v>
      </c>
      <c r="K37" s="47">
        <f t="shared" si="11"/>
        <v>1</v>
      </c>
      <c r="L37" s="47">
        <f t="shared" si="11"/>
        <v>0.42536179830386023</v>
      </c>
      <c r="M37" s="47">
        <f t="shared" si="11"/>
        <v>3.2711714822915461E-7</v>
      </c>
      <c r="N37" s="47">
        <f t="shared" si="16"/>
        <v>1</v>
      </c>
      <c r="O37" s="30">
        <f t="shared" ref="O37:S37" si="27">IFERROR(O22/$B37,0)</f>
        <v>152.850439882698</v>
      </c>
      <c r="P37" s="30">
        <f t="shared" si="27"/>
        <v>140.06003150167919</v>
      </c>
      <c r="Q37" s="30">
        <f t="shared" si="27"/>
        <v>107.60360759143475</v>
      </c>
      <c r="R37" s="30">
        <f t="shared" si="27"/>
        <v>110.88257575757572</v>
      </c>
      <c r="S37" s="30">
        <f t="shared" si="27"/>
        <v>786.78866993535519</v>
      </c>
      <c r="T37" s="38">
        <f>IFERROR(up_RadSpec!$F$22*T22,".")*$B$37</f>
        <v>3.2711714822915461E-7</v>
      </c>
      <c r="U37" s="38">
        <f>IFERROR(up_RadSpec!$M$22*U22,".")*$B$37</f>
        <v>3.5698978119536224E-7</v>
      </c>
      <c r="V37" s="38">
        <f>IFERROR(up_RadSpec!$N$22*V22,".")*$B$37</f>
        <v>4.6466843555884648E-7</v>
      </c>
      <c r="W37" s="38">
        <f>IFERROR(up_RadSpec!$O$22*W22,".")*$B$37</f>
        <v>4.5092747583097079E-7</v>
      </c>
      <c r="X37" s="38">
        <f>IFERROR(up_RadSpec!$K$22*X22,".")*$B$37</f>
        <v>6.3549466217031525E-8</v>
      </c>
      <c r="Y37" s="47">
        <f t="shared" si="18"/>
        <v>3.2711714822915461E-7</v>
      </c>
      <c r="Z37" s="47">
        <f t="shared" si="13"/>
        <v>3.5698978119536224E-7</v>
      </c>
      <c r="AA37" s="47">
        <f t="shared" si="13"/>
        <v>4.6466843555884648E-7</v>
      </c>
      <c r="AB37" s="47">
        <f t="shared" si="13"/>
        <v>4.5092747583097079E-7</v>
      </c>
      <c r="AC37" s="47">
        <f t="shared" si="13"/>
        <v>6.3549466217031525E-8</v>
      </c>
      <c r="AD37" s="30">
        <f t="shared" ref="AD37:AF37" si="28">IFERROR(AD22/$B37,0)</f>
        <v>2.9090909090909094E-10</v>
      </c>
      <c r="AE37" s="30">
        <f t="shared" si="28"/>
        <v>6.3709090909090908E-6</v>
      </c>
      <c r="AF37" s="30">
        <f t="shared" si="28"/>
        <v>2.9089580799548386E-10</v>
      </c>
      <c r="AG37" s="38">
        <f>IFERROR(up_RadSpec!$G$22*AG22,".")*$B$37</f>
        <v>171875</v>
      </c>
      <c r="AH37" s="38">
        <f>IFERROR(up_RadSpec!$J$22*AH22,".")*$B$37</f>
        <v>7.8481735159817356</v>
      </c>
      <c r="AI37" s="47">
        <f t="shared" si="20"/>
        <v>1</v>
      </c>
      <c r="AJ37" s="47">
        <f t="shared" si="20"/>
        <v>0.99960953550549536</v>
      </c>
      <c r="AK37" s="47">
        <f t="shared" si="21"/>
        <v>1</v>
      </c>
    </row>
    <row r="38" spans="1:37" x14ac:dyDescent="0.25">
      <c r="A38" s="29" t="s">
        <v>296</v>
      </c>
      <c r="B38" s="24">
        <v>1</v>
      </c>
      <c r="C38" s="2"/>
      <c r="D38" s="30">
        <f>IFERROR(D2/$B38,0)</f>
        <v>7.272727272727274E-8</v>
      </c>
      <c r="E38" s="30">
        <f>IFERROR(E2/$B38,0)</f>
        <v>9.0250320889537203E-5</v>
      </c>
      <c r="F38" s="30">
        <f>IFERROR(F2/$B38,0)</f>
        <v>1.6909254955570753E-4</v>
      </c>
      <c r="G38" s="30">
        <f t="shared" si="22"/>
        <v>7.2637496932584985E-8</v>
      </c>
      <c r="H38" s="38">
        <f>IFERROR(up_RadSpec!$I$2*H2,".")*$B$38</f>
        <v>687.5</v>
      </c>
      <c r="I38" s="38">
        <f>IFERROR(up_RadSpec!$G$2*I2,".")*$B$38</f>
        <v>0.55401465066476618</v>
      </c>
      <c r="J38" s="38">
        <f>IFERROR(up_RadSpec!$F$2*J2,".")*$B$38</f>
        <v>0.29569605598458093</v>
      </c>
      <c r="K38" s="47">
        <f t="shared" si="11"/>
        <v>1</v>
      </c>
      <c r="L38" s="47">
        <f t="shared" si="11"/>
        <v>0.42536179830386023</v>
      </c>
      <c r="M38" s="47">
        <f t="shared" si="11"/>
        <v>0.25598646788257673</v>
      </c>
      <c r="N38" s="47">
        <f t="shared" si="16"/>
        <v>1</v>
      </c>
      <c r="O38" s="30">
        <f t="shared" ref="O38:S38" si="29">IFERROR(O2/$B38,0)</f>
        <v>1.6909254955570753E-4</v>
      </c>
      <c r="P38" s="30">
        <f t="shared" si="29"/>
        <v>3.4189433603046168E-4</v>
      </c>
      <c r="Q38" s="30">
        <f t="shared" si="29"/>
        <v>2.3221070518266771E-4</v>
      </c>
      <c r="R38" s="30">
        <f t="shared" si="29"/>
        <v>1.9301841948900773E-4</v>
      </c>
      <c r="S38" s="30">
        <f t="shared" si="29"/>
        <v>2.7055190009399764E-3</v>
      </c>
      <c r="T38" s="38">
        <f>IFERROR(up_RadSpec!$F$2*T2,".")*$B$38</f>
        <v>0.29569605598458093</v>
      </c>
      <c r="U38" s="38">
        <f>IFERROR(up_RadSpec!$M$2*U2,".")*$B$38</f>
        <v>0.14624401381000118</v>
      </c>
      <c r="V38" s="38">
        <f>IFERROR(up_RadSpec!$N$2*V2,".")*$B$38</f>
        <v>0.21532168364360155</v>
      </c>
      <c r="W38" s="38">
        <f>IFERROR(up_RadSpec!$O$2*W2,".")*$B$38</f>
        <v>0.25904263506233655</v>
      </c>
      <c r="X38" s="38">
        <f>IFERROR(up_RadSpec!$K$2*X2,".")*$B$38</f>
        <v>1.8480742505459599E-2</v>
      </c>
      <c r="Y38" s="47">
        <f t="shared" si="18"/>
        <v>0.25598646788257673</v>
      </c>
      <c r="Z38" s="47">
        <f t="shared" si="13"/>
        <v>0.13605313750388714</v>
      </c>
      <c r="AA38" s="47">
        <f t="shared" si="13"/>
        <v>0.19371796928573737</v>
      </c>
      <c r="AB38" s="47">
        <f t="shared" si="13"/>
        <v>0.22820988297751665</v>
      </c>
      <c r="AC38" s="47">
        <f t="shared" si="13"/>
        <v>1.831102072007873E-2</v>
      </c>
      <c r="AD38" s="30">
        <f t="shared" ref="AD38:AF38" si="30">IFERROR(AD2/$B38,0)</f>
        <v>2.9090909090909094E-10</v>
      </c>
      <c r="AE38" s="30">
        <f t="shared" si="30"/>
        <v>6.3709090909090908E-6</v>
      </c>
      <c r="AF38" s="30">
        <f t="shared" si="30"/>
        <v>2.9089580799548386E-10</v>
      </c>
      <c r="AG38" s="38">
        <f>IFERROR(up_RadSpec!$G$2*AG2,".")*$B$38</f>
        <v>171875</v>
      </c>
      <c r="AH38" s="38">
        <f>IFERROR(up_RadSpec!$J$2*AH2,".")*$B$38</f>
        <v>7.8481735159817356</v>
      </c>
      <c r="AI38" s="47">
        <f t="shared" si="20"/>
        <v>1</v>
      </c>
      <c r="AJ38" s="47">
        <f t="shared" si="20"/>
        <v>0.99960953550549536</v>
      </c>
      <c r="AK38" s="47">
        <f t="shared" si="21"/>
        <v>1</v>
      </c>
    </row>
    <row r="39" spans="1:37" x14ac:dyDescent="0.25">
      <c r="A39" s="29" t="s">
        <v>297</v>
      </c>
      <c r="B39" s="24">
        <v>1</v>
      </c>
      <c r="C39" s="2"/>
      <c r="D39" s="30">
        <f>IFERROR(D11/$B39,0)</f>
        <v>7.272727272727274E-8</v>
      </c>
      <c r="E39" s="30">
        <f>IFERROR(E11/$B39,0)</f>
        <v>9.0250320889537203E-5</v>
      </c>
      <c r="F39" s="30">
        <f>IFERROR(F11/$B39,0)</f>
        <v>1.4877122877122876E-4</v>
      </c>
      <c r="G39" s="30">
        <f t="shared" si="22"/>
        <v>7.2633235017752465E-8</v>
      </c>
      <c r="H39" s="38">
        <f>IFERROR(up_RadSpec!$I$11*H11,".")*$B$39</f>
        <v>687.5</v>
      </c>
      <c r="I39" s="38">
        <f>IFERROR(up_RadSpec!$G$11*I11,".")*$B$39</f>
        <v>0.55401465066476618</v>
      </c>
      <c r="J39" s="38">
        <f>IFERROR(up_RadSpec!$F$11*J11,".")*$B$39</f>
        <v>0.33608648939027674</v>
      </c>
      <c r="K39" s="47">
        <f t="shared" si="11"/>
        <v>1</v>
      </c>
      <c r="L39" s="47">
        <f t="shared" si="11"/>
        <v>0.42536179830386023</v>
      </c>
      <c r="M39" s="47">
        <f t="shared" si="11"/>
        <v>0.28543869882788087</v>
      </c>
      <c r="N39" s="47">
        <f t="shared" si="16"/>
        <v>1</v>
      </c>
      <c r="O39" s="30">
        <f t="shared" ref="O39:S39" si="31">IFERROR(O11/$B39,0)</f>
        <v>1.4877122877122876E-4</v>
      </c>
      <c r="P39" s="30">
        <f t="shared" si="31"/>
        <v>1.8824477461596578E-4</v>
      </c>
      <c r="Q39" s="30">
        <f t="shared" si="31"/>
        <v>1.4609548724656639E-4</v>
      </c>
      <c r="R39" s="30">
        <f t="shared" si="31"/>
        <v>1.3916387959866225E-4</v>
      </c>
      <c r="S39" s="30">
        <f t="shared" si="31"/>
        <v>3.5044063079777365E-4</v>
      </c>
      <c r="T39" s="38">
        <f>IFERROR(up_RadSpec!$F$11*T11,".")*$B$39</f>
        <v>0.33608648939027674</v>
      </c>
      <c r="U39" s="38">
        <f>IFERROR(up_RadSpec!$M$11*U11,".")*$B$39</f>
        <v>0.26561162243150688</v>
      </c>
      <c r="V39" s="38">
        <f>IFERROR(up_RadSpec!$N$11*V11,".")*$B$39</f>
        <v>0.34224191959888989</v>
      </c>
      <c r="W39" s="38">
        <f>IFERROR(up_RadSpec!$O$11*W11,".")*$B$39</f>
        <v>0.35928863254025467</v>
      </c>
      <c r="X39" s="38">
        <f>IFERROR(up_RadSpec!$K$11*X11,".")*$B$39</f>
        <v>0.14267751968764478</v>
      </c>
      <c r="Y39" s="47">
        <f t="shared" si="18"/>
        <v>0.28543869882788087</v>
      </c>
      <c r="Z39" s="47">
        <f t="shared" si="13"/>
        <v>0.23326314692301875</v>
      </c>
      <c r="AA39" s="47">
        <f t="shared" si="13"/>
        <v>0.28982362165865716</v>
      </c>
      <c r="AB39" s="47">
        <f t="shared" si="13"/>
        <v>0.30182719312395956</v>
      </c>
      <c r="AC39" s="47">
        <f t="shared" si="13"/>
        <v>0.13296637490837637</v>
      </c>
      <c r="AD39" s="30">
        <f t="shared" ref="AD39:AF39" si="32">IFERROR(AD11/$B39,0)</f>
        <v>2.9090909090909094E-10</v>
      </c>
      <c r="AE39" s="30">
        <f t="shared" si="32"/>
        <v>6.3709090909090908E-6</v>
      </c>
      <c r="AF39" s="30">
        <f t="shared" si="32"/>
        <v>2.9089580799548386E-10</v>
      </c>
      <c r="AG39" s="38">
        <f>IFERROR(up_RadSpec!$G$11*AG11,".")*$B$39</f>
        <v>171875</v>
      </c>
      <c r="AH39" s="38">
        <f>IFERROR(up_RadSpec!$J$11*AH11,".")*$B$39</f>
        <v>7.8481735159817356</v>
      </c>
      <c r="AI39" s="47">
        <f t="shared" si="20"/>
        <v>1</v>
      </c>
      <c r="AJ39" s="47">
        <f t="shared" si="20"/>
        <v>0.99960953550549536</v>
      </c>
      <c r="AK39" s="47">
        <f t="shared" si="21"/>
        <v>1</v>
      </c>
    </row>
    <row r="40" spans="1:37" x14ac:dyDescent="0.25">
      <c r="A40" s="29" t="s">
        <v>298</v>
      </c>
      <c r="B40" s="24">
        <v>1</v>
      </c>
      <c r="C40" s="2"/>
      <c r="D40" s="30">
        <f>IFERROR(D4/$B40,0)</f>
        <v>7.272727272727274E-8</v>
      </c>
      <c r="E40" s="30">
        <f>IFERROR(E4/$B40,0)</f>
        <v>9.0250320889537203E-5</v>
      </c>
      <c r="F40" s="30">
        <f>IFERROR(F4/$B40,0)</f>
        <v>8.2585858585858629E-5</v>
      </c>
      <c r="G40" s="30">
        <f t="shared" si="22"/>
        <v>7.260482717550008E-8</v>
      </c>
      <c r="H40" s="38">
        <f>IFERROR(up_RadSpec!$I$4*H4,".")*$B$40</f>
        <v>687.5</v>
      </c>
      <c r="I40" s="38">
        <f>IFERROR(up_RadSpec!$G$4*I4,".")*$B$40</f>
        <v>0.55401465066476618</v>
      </c>
      <c r="J40" s="38">
        <f>IFERROR(up_RadSpec!$F$4*J4,".")*$B$40</f>
        <v>0.60543052837573375</v>
      </c>
      <c r="K40" s="47">
        <f t="shared" si="11"/>
        <v>1</v>
      </c>
      <c r="L40" s="47">
        <f t="shared" si="11"/>
        <v>0.42536179830386023</v>
      </c>
      <c r="M40" s="47">
        <f t="shared" si="11"/>
        <v>0.45416062329475759</v>
      </c>
      <c r="N40" s="47">
        <f t="shared" si="16"/>
        <v>1</v>
      </c>
      <c r="O40" s="30">
        <f t="shared" ref="O40:S40" si="33">IFERROR(O4/$B40,0)</f>
        <v>8.2585858585858629E-5</v>
      </c>
      <c r="P40" s="30">
        <f t="shared" si="33"/>
        <v>1.3476923076923084E-4</v>
      </c>
      <c r="Q40" s="30">
        <f t="shared" si="33"/>
        <v>9.6948616600790494E-5</v>
      </c>
      <c r="R40" s="30">
        <f t="shared" si="33"/>
        <v>8.4393416567329625E-5</v>
      </c>
      <c r="S40" s="30">
        <f t="shared" si="33"/>
        <v>2.4888664733324921E-4</v>
      </c>
      <c r="T40" s="38">
        <f>IFERROR(up_RadSpec!$F$4*T4,".")*$B$40</f>
        <v>0.60543052837573375</v>
      </c>
      <c r="U40" s="38">
        <f>IFERROR(up_RadSpec!$M$4*U4,".")*$B$40</f>
        <v>0.37100456621004563</v>
      </c>
      <c r="V40" s="38">
        <f>IFERROR(up_RadSpec!$N$4*V4,".")*$B$40</f>
        <v>0.51573711676451417</v>
      </c>
      <c r="W40" s="38">
        <f>IFERROR(up_RadSpec!$O$4*W4,".")*$B$40</f>
        <v>0.59246327538013199</v>
      </c>
      <c r="X40" s="38">
        <f>IFERROR(up_RadSpec!$K$4*X4,".")*$B$40</f>
        <v>0.20089466645051482</v>
      </c>
      <c r="Y40" s="47">
        <f t="shared" si="18"/>
        <v>0.45416062329475759</v>
      </c>
      <c r="Z40" s="47">
        <f t="shared" si="13"/>
        <v>0.30995920931959509</v>
      </c>
      <c r="AA40" s="47">
        <f t="shared" si="13"/>
        <v>0.40293967080341675</v>
      </c>
      <c r="AB40" s="47">
        <f t="shared" si="13"/>
        <v>0.44703649564561077</v>
      </c>
      <c r="AC40" s="47">
        <f t="shared" si="13"/>
        <v>0.18200141028896444</v>
      </c>
      <c r="AD40" s="30">
        <f t="shared" ref="AD40:AF40" si="34">IFERROR(AD4/$B40,0)</f>
        <v>2.9090909090909094E-10</v>
      </c>
      <c r="AE40" s="30">
        <f t="shared" si="34"/>
        <v>6.3709090909090908E-6</v>
      </c>
      <c r="AF40" s="30">
        <f t="shared" si="34"/>
        <v>2.9089580799548386E-10</v>
      </c>
      <c r="AG40" s="38">
        <f>IFERROR(up_RadSpec!$G$4*AG4,".")*$B$40</f>
        <v>171875</v>
      </c>
      <c r="AH40" s="38">
        <f>IFERROR(up_RadSpec!$J$4*AH4,".")*$B$40</f>
        <v>7.8481735159817356</v>
      </c>
      <c r="AI40" s="47">
        <f t="shared" si="20"/>
        <v>1</v>
      </c>
      <c r="AJ40" s="47">
        <f t="shared" si="20"/>
        <v>0.99960953550549536</v>
      </c>
      <c r="AK40" s="47">
        <f t="shared" si="21"/>
        <v>1</v>
      </c>
    </row>
    <row r="41" spans="1:37" x14ac:dyDescent="0.25">
      <c r="A41" s="29" t="s">
        <v>299</v>
      </c>
      <c r="B41" s="31">
        <v>0.99987999999999999</v>
      </c>
      <c r="C41" s="111"/>
      <c r="D41" s="30">
        <f>IFERROR(D8/$B41,0)</f>
        <v>7.2736001047398429E-8</v>
      </c>
      <c r="E41" s="30">
        <f>IFERROR(E8/$B41,0)</f>
        <v>9.0261152227804535E-5</v>
      </c>
      <c r="F41" s="30">
        <f>IFERROR(F8/$B41,0)</f>
        <v>5.2803925622255014E-5</v>
      </c>
      <c r="G41" s="30">
        <f t="shared" si="22"/>
        <v>7.2577541567861786E-8</v>
      </c>
      <c r="H41" s="38">
        <f>IFERROR(up_RadSpec!$I$8*H8,".")*$B$41</f>
        <v>687.41750000000002</v>
      </c>
      <c r="I41" s="38">
        <f>IFERROR(up_RadSpec!$G$8*I8,".")*$B$41</f>
        <v>0.55394816890668641</v>
      </c>
      <c r="J41" s="38">
        <f>IFERROR(up_RadSpec!$F$8*J8,".")*$B$41</f>
        <v>0.94689929604261758</v>
      </c>
      <c r="K41" s="47">
        <f t="shared" si="11"/>
        <v>1</v>
      </c>
      <c r="L41" s="47">
        <f t="shared" si="11"/>
        <v>0.4253235940760236</v>
      </c>
      <c r="M41" s="47">
        <f t="shared" si="11"/>
        <v>0.61205794606587272</v>
      </c>
      <c r="N41" s="47">
        <f t="shared" si="16"/>
        <v>1</v>
      </c>
      <c r="O41" s="30">
        <f t="shared" ref="O41:S41" si="35">IFERROR(O8/$B41,0)</f>
        <v>5.2803925622255014E-5</v>
      </c>
      <c r="P41" s="30">
        <f t="shared" si="35"/>
        <v>9.6932155554038061E-5</v>
      </c>
      <c r="Q41" s="30">
        <f t="shared" si="35"/>
        <v>7.0751452795470674E-5</v>
      </c>
      <c r="R41" s="30">
        <f t="shared" si="35"/>
        <v>6.4867913982563719E-5</v>
      </c>
      <c r="S41" s="30">
        <f t="shared" si="35"/>
        <v>1.7960422486818002E-4</v>
      </c>
      <c r="T41" s="38">
        <f>IFERROR(up_RadSpec!$F$8*T8,".")*$B$41</f>
        <v>0.94689929604261758</v>
      </c>
      <c r="U41" s="38">
        <f>IFERROR(up_RadSpec!$M$8*U8,".")*$B$41</f>
        <v>0.51582469939117204</v>
      </c>
      <c r="V41" s="38">
        <f>IFERROR(up_RadSpec!$N$8*V8,".")*$B$41</f>
        <v>0.70669926940639272</v>
      </c>
      <c r="W41" s="38">
        <f>IFERROR(up_RadSpec!$O$8*W8,".")*$B$41</f>
        <v>0.77079710029583881</v>
      </c>
      <c r="X41" s="38">
        <f>IFERROR(up_RadSpec!$K$8*X8,".")*$B$41</f>
        <v>0.27838988774733642</v>
      </c>
      <c r="Y41" s="47">
        <f t="shared" si="18"/>
        <v>0.61205794606587272</v>
      </c>
      <c r="Z41" s="47">
        <f t="shared" si="13"/>
        <v>0.40299196062544751</v>
      </c>
      <c r="AA41" s="47">
        <f t="shared" si="13"/>
        <v>0.50673033635809328</v>
      </c>
      <c r="AB41" s="47">
        <f t="shared" si="13"/>
        <v>0.537355852489527</v>
      </c>
      <c r="AC41" s="47">
        <f t="shared" si="13"/>
        <v>0.24299838168567478</v>
      </c>
      <c r="AD41" s="30">
        <f t="shared" ref="AD41:AF41" si="36">IFERROR(AD8/$B41,0)</f>
        <v>2.9094400418959372E-10</v>
      </c>
      <c r="AE41" s="30">
        <f t="shared" si="36"/>
        <v>6.3716736917521008E-6</v>
      </c>
      <c r="AF41" s="30">
        <f t="shared" si="36"/>
        <v>2.9093071968184571E-10</v>
      </c>
      <c r="AG41" s="38">
        <f>IFERROR(up_RadSpec!$G$8*AG8,".")*$B$41</f>
        <v>171854.375</v>
      </c>
      <c r="AH41" s="38">
        <f>IFERROR(up_RadSpec!$J$8*AH8,".")*$B$41</f>
        <v>7.8472317351598173</v>
      </c>
      <c r="AI41" s="47">
        <f t="shared" si="20"/>
        <v>1</v>
      </c>
      <c r="AJ41" s="47">
        <f t="shared" si="20"/>
        <v>0.99960916760030694</v>
      </c>
      <c r="AK41" s="47">
        <f t="shared" si="21"/>
        <v>1</v>
      </c>
    </row>
    <row r="42" spans="1:37" x14ac:dyDescent="0.25">
      <c r="A42" s="29" t="s">
        <v>300</v>
      </c>
      <c r="B42" s="24">
        <v>0.97898250799999997</v>
      </c>
      <c r="C42" s="2"/>
      <c r="D42" s="30">
        <f>IFERROR(D19/$B42,0)</f>
        <v>7.4288633487282639E-8</v>
      </c>
      <c r="E42" s="30">
        <f>IFERROR(E19/$B42,0)</f>
        <v>9.218787889674655E-5</v>
      </c>
      <c r="F42" s="30">
        <f>IFERROR(F19/$B42,0)</f>
        <v>3.7334275877263395E-5</v>
      </c>
      <c r="G42" s="30">
        <f t="shared" si="22"/>
        <v>7.4081526477565172E-8</v>
      </c>
      <c r="H42" s="48">
        <f>IFERROR(up_RadSpec!$I$19*H19,".")*$B$42</f>
        <v>673.05047424999998</v>
      </c>
      <c r="I42" s="48">
        <f>IFERROR(up_RadSpec!$G$19*I19,".")*$B$42</f>
        <v>0.54237065217653668</v>
      </c>
      <c r="J42" s="48">
        <f>IFERROR(up_RadSpec!$F$19*J19,".")*$B$42</f>
        <v>1.339251902578082</v>
      </c>
      <c r="K42" s="47">
        <f t="shared" si="11"/>
        <v>1</v>
      </c>
      <c r="L42" s="47">
        <f t="shared" si="11"/>
        <v>0.41863160481192108</v>
      </c>
      <c r="M42" s="47">
        <f t="shared" si="11"/>
        <v>0.73795837206086223</v>
      </c>
      <c r="N42" s="47">
        <f t="shared" si="16"/>
        <v>1</v>
      </c>
      <c r="O42" s="30">
        <f t="shared" ref="O42:S42" si="37">IFERROR(O19/$B42,0)</f>
        <v>3.7334275877263395E-5</v>
      </c>
      <c r="P42" s="30">
        <f t="shared" si="37"/>
        <v>7.4048936703994229E-5</v>
      </c>
      <c r="Q42" s="30">
        <f t="shared" si="37"/>
        <v>5.1330664881774289E-5</v>
      </c>
      <c r="R42" s="30">
        <f t="shared" si="37"/>
        <v>4.2871568825329785E-5</v>
      </c>
      <c r="S42" s="30">
        <f t="shared" si="37"/>
        <v>1.2751430676891291E-4</v>
      </c>
      <c r="T42" s="48">
        <f>IFERROR(up_RadSpec!$F$19*T19,".")*$B$42</f>
        <v>1.339251902578082</v>
      </c>
      <c r="U42" s="48">
        <f>IFERROR(up_RadSpec!$M$19*U19,".")*$B$42</f>
        <v>0.67522914204523599</v>
      </c>
      <c r="V42" s="48">
        <f>IFERROR(up_RadSpec!$N$19*V19,".")*$B$42</f>
        <v>0.97407660927753237</v>
      </c>
      <c r="W42" s="48">
        <f>IFERROR(up_RadSpec!$O$19*W19,".")*$B$42</f>
        <v>1.1662740918979047</v>
      </c>
      <c r="X42" s="48">
        <f>IFERROR(up_RadSpec!$K$19*X19,".")*$B$42</f>
        <v>0.3921128637793736</v>
      </c>
      <c r="Y42" s="47">
        <f t="shared" si="18"/>
        <v>0.73795837206086223</v>
      </c>
      <c r="Z42" s="47">
        <f t="shared" si="13"/>
        <v>0.49096023517013176</v>
      </c>
      <c r="AA42" s="47">
        <f t="shared" si="13"/>
        <v>0.62245918966085934</v>
      </c>
      <c r="AB42" s="47">
        <f t="shared" si="13"/>
        <v>0.68847450303769597</v>
      </c>
      <c r="AC42" s="47">
        <f t="shared" si="13"/>
        <v>0.32437214425593763</v>
      </c>
      <c r="AD42" s="30">
        <f t="shared" ref="AD42:AF42" si="38">IFERROR(AD19/$B42,0)</f>
        <v>2.9715453394913051E-10</v>
      </c>
      <c r="AE42" s="30">
        <f t="shared" si="38"/>
        <v>6.5076842934859581E-6</v>
      </c>
      <c r="AF42" s="30">
        <f t="shared" si="38"/>
        <v>2.9714096586849728E-10</v>
      </c>
      <c r="AG42" s="48">
        <f>IFERROR(up_RadSpec!$G$19*AG19,".")*$B$42</f>
        <v>168262.61856249999</v>
      </c>
      <c r="AH42" s="48">
        <f>IFERROR(up_RadSpec!$J$19*AH19,".")*$B$42</f>
        <v>7.6832245918949775</v>
      </c>
      <c r="AI42" s="47">
        <f t="shared" si="20"/>
        <v>1</v>
      </c>
      <c r="AJ42" s="47">
        <f t="shared" si="20"/>
        <v>0.99953951238250627</v>
      </c>
      <c r="AK42" s="47">
        <f t="shared" si="21"/>
        <v>1</v>
      </c>
    </row>
    <row r="43" spans="1:37" x14ac:dyDescent="0.25">
      <c r="A43" s="29" t="s">
        <v>301</v>
      </c>
      <c r="B43" s="24">
        <v>2.0897492E-2</v>
      </c>
      <c r="C43" s="2"/>
      <c r="D43" s="30">
        <f>IFERROR(D28/$B43,0)</f>
        <v>3.4801914376745659E-6</v>
      </c>
      <c r="E43" s="30">
        <f>IFERROR(E28/$B43,0)</f>
        <v>4.318715417598303E-3</v>
      </c>
      <c r="F43" s="30">
        <f>IFERROR(F28/$B43,0)</f>
        <v>1.244752449535734E-3</v>
      </c>
      <c r="G43" s="30">
        <f t="shared" si="22"/>
        <v>3.4677017127217438E-6</v>
      </c>
      <c r="H43" s="48">
        <f>IFERROR(up_RadSpec!$I$28*H28,".")*$B$43</f>
        <v>14.36702575</v>
      </c>
      <c r="I43" s="48">
        <f>IFERROR(up_RadSpec!$G$28*I28,".")*$B$43</f>
        <v>1.1577516730149746E-2</v>
      </c>
      <c r="J43" s="48">
        <f>IFERROR(up_RadSpec!$F$28*J28,".")*$B$43</f>
        <v>4.0168629528424663E-2</v>
      </c>
      <c r="K43" s="47">
        <f t="shared" si="11"/>
        <v>0.99999942392371743</v>
      </c>
      <c r="L43" s="47">
        <f t="shared" si="11"/>
        <v>1.151075517604927E-2</v>
      </c>
      <c r="M43" s="47">
        <f t="shared" si="11"/>
        <v>3.9372564658019527E-2</v>
      </c>
      <c r="N43" s="47">
        <f t="shared" si="16"/>
        <v>0.99999945297530879</v>
      </c>
      <c r="O43" s="30">
        <f t="shared" ref="O43:S43" si="39">IFERROR(O28/$B43,0)</f>
        <v>1.244752449535734E-3</v>
      </c>
      <c r="P43" s="30">
        <f t="shared" si="39"/>
        <v>2.7756240506474133E-3</v>
      </c>
      <c r="Q43" s="30">
        <f t="shared" si="39"/>
        <v>1.9270845128969143E-3</v>
      </c>
      <c r="R43" s="30">
        <f t="shared" si="39"/>
        <v>1.6684751996732272E-3</v>
      </c>
      <c r="S43" s="30">
        <f t="shared" si="39"/>
        <v>4.8794493601554681E-3</v>
      </c>
      <c r="T43" s="48">
        <f>IFERROR(up_RadSpec!$F$28*T28,".")*$B$43</f>
        <v>4.0168629528424663E-2</v>
      </c>
      <c r="U43" s="48">
        <f>IFERROR(up_RadSpec!$M$28*U28,".")*$B$43</f>
        <v>1.8013966980988484E-2</v>
      </c>
      <c r="V43" s="48">
        <f>IFERROR(up_RadSpec!$N$28*V28,".")*$B$43</f>
        <v>2.5945930064497729E-2</v>
      </c>
      <c r="W43" s="48">
        <f>IFERROR(up_RadSpec!$O$28*W28,".")*$B$43</f>
        <v>2.9967481692141772E-2</v>
      </c>
      <c r="X43" s="48">
        <f>IFERROR(up_RadSpec!$K$28*X28,".")*$B$43</f>
        <v>1.0247057876712325E-2</v>
      </c>
      <c r="Y43" s="47">
        <f t="shared" si="18"/>
        <v>3.9372564658019527E-2</v>
      </c>
      <c r="Z43" s="47">
        <f t="shared" si="13"/>
        <v>1.7852685370367993E-2</v>
      </c>
      <c r="AA43" s="47">
        <f t="shared" si="13"/>
        <v>2.5612226731509757E-2</v>
      </c>
      <c r="AB43" s="47">
        <f t="shared" si="13"/>
        <v>2.9522908691772543E-2</v>
      </c>
      <c r="AC43" s="47">
        <f t="shared" si="13"/>
        <v>1.0194735647955477E-2</v>
      </c>
      <c r="AD43" s="30">
        <f t="shared" ref="AD43:AF43" si="40">IFERROR(AD28/$B43,0)</f>
        <v>1.3920765750698263E-8</v>
      </c>
      <c r="AE43" s="30">
        <f t="shared" si="40"/>
        <v>3.0486476994029193E-4</v>
      </c>
      <c r="AF43" s="30">
        <f t="shared" si="40"/>
        <v>1.3920130128317976E-8</v>
      </c>
      <c r="AG43" s="48">
        <f>IFERROR(up_RadSpec!$G$28*AG28,".")*$B$43</f>
        <v>3591.7564375000002</v>
      </c>
      <c r="AH43" s="48">
        <f>IFERROR(up_RadSpec!$J$28*AH28,".")*$B$43</f>
        <v>0.1640071432648402</v>
      </c>
      <c r="AI43" s="47">
        <f t="shared" si="20"/>
        <v>1</v>
      </c>
      <c r="AJ43" s="47">
        <f t="shared" si="20"/>
        <v>0.15126404088718259</v>
      </c>
      <c r="AK43" s="47">
        <f t="shared" si="21"/>
        <v>1</v>
      </c>
    </row>
    <row r="44" spans="1:37" x14ac:dyDescent="0.25">
      <c r="A44" s="29" t="s">
        <v>302</v>
      </c>
      <c r="B44" s="24">
        <v>0.99987999999999999</v>
      </c>
      <c r="C44" s="2"/>
      <c r="D44" s="30">
        <f>IFERROR(D15/$B44,0)</f>
        <v>7.2736001047398429E-8</v>
      </c>
      <c r="E44" s="30">
        <f>IFERROR(E15/$B44,0)</f>
        <v>9.0261152227804535E-5</v>
      </c>
      <c r="F44" s="30">
        <f>IFERROR(F15/$B44,0)</f>
        <v>0</v>
      </c>
      <c r="G44" s="30">
        <f t="shared" si="22"/>
        <v>7.2677434700348648E-8</v>
      </c>
      <c r="H44" s="38">
        <f>IFERROR(up_RadSpec!$I$15*H15,".")*$B$44</f>
        <v>687.41750000000002</v>
      </c>
      <c r="I44" s="38">
        <f>IFERROR(up_RadSpec!$G$15*I15,".")*$B$44</f>
        <v>0.55394816890668641</v>
      </c>
      <c r="J44" s="38">
        <f>IFERROR(up_RadSpec!$F$15*J15,".")*$B$44</f>
        <v>0</v>
      </c>
      <c r="K44" s="47">
        <f t="shared" si="11"/>
        <v>1</v>
      </c>
      <c r="L44" s="47">
        <f t="shared" si="11"/>
        <v>0.4253235940760236</v>
      </c>
      <c r="M44" s="47">
        <f t="shared" si="11"/>
        <v>0</v>
      </c>
      <c r="N44" s="47">
        <f t="shared" si="16"/>
        <v>1</v>
      </c>
      <c r="O44" s="30">
        <f t="shared" ref="O44:S44" si="41">IFERROR(O15/$B44,0)</f>
        <v>0</v>
      </c>
      <c r="P44" s="30">
        <f t="shared" si="41"/>
        <v>0</v>
      </c>
      <c r="Q44" s="30">
        <f t="shared" si="41"/>
        <v>0</v>
      </c>
      <c r="R44" s="30">
        <f t="shared" si="41"/>
        <v>0</v>
      </c>
      <c r="S44" s="30">
        <f t="shared" si="41"/>
        <v>0</v>
      </c>
      <c r="T44" s="38">
        <f>IFERROR(up_RadSpec!$F$15*T15,".")*$B$44</f>
        <v>0</v>
      </c>
      <c r="U44" s="38">
        <f>IFERROR(up_RadSpec!$M$15*U15,".")*$B$44</f>
        <v>0</v>
      </c>
      <c r="V44" s="38">
        <f>IFERROR(up_RadSpec!$N$15*V15,".")*$B$44</f>
        <v>0</v>
      </c>
      <c r="W44" s="38">
        <f>IFERROR(up_RadSpec!$O$15*W15,".")*$B$44</f>
        <v>0</v>
      </c>
      <c r="X44" s="38">
        <f>IFERROR(up_RadSpec!$K$15*X15,".")*$B$44</f>
        <v>0</v>
      </c>
      <c r="Y44" s="47">
        <f t="shared" si="18"/>
        <v>0</v>
      </c>
      <c r="Z44" s="47">
        <f t="shared" si="13"/>
        <v>0</v>
      </c>
      <c r="AA44" s="47">
        <f t="shared" si="13"/>
        <v>0</v>
      </c>
      <c r="AB44" s="47">
        <f t="shared" si="13"/>
        <v>0</v>
      </c>
      <c r="AC44" s="47">
        <f t="shared" si="13"/>
        <v>0</v>
      </c>
      <c r="AD44" s="30">
        <f t="shared" ref="AD44:AF44" si="42">IFERROR(AD15/$B44,0)</f>
        <v>2.9094400418959372E-10</v>
      </c>
      <c r="AE44" s="30">
        <f t="shared" si="42"/>
        <v>6.3716736917521008E-6</v>
      </c>
      <c r="AF44" s="30">
        <f t="shared" si="42"/>
        <v>2.9093071968184571E-10</v>
      </c>
      <c r="AG44" s="38">
        <f>IFERROR(up_RadSpec!$G$15*AG15,".")*$B$44</f>
        <v>171854.375</v>
      </c>
      <c r="AH44" s="38">
        <f>IFERROR(up_RadSpec!$J$15*AH15,".")*$B$44</f>
        <v>7.8472317351598173</v>
      </c>
      <c r="AI44" s="47">
        <f t="shared" si="20"/>
        <v>1</v>
      </c>
      <c r="AJ44" s="47">
        <f t="shared" si="20"/>
        <v>0.99960916760030694</v>
      </c>
      <c r="AK44" s="47">
        <f t="shared" si="21"/>
        <v>1</v>
      </c>
    </row>
    <row r="45" spans="1:37" x14ac:dyDescent="0.25">
      <c r="A45" s="26" t="s">
        <v>20</v>
      </c>
      <c r="B45" s="26" t="s">
        <v>289</v>
      </c>
      <c r="C45" s="110"/>
      <c r="D45" s="27">
        <f>IFERROR(IF(AND(D46&lt;&gt;0,D47&lt;&gt;0),1/SUM(1/D46,1/D47),IF(AND(D46&lt;&gt;0,D47=0),1/(1/D46),IF(AND(D46=0,D47&lt;&gt;0),1/(1/D47),IF(AND(D46=0,D47=0),".")))),".")</f>
        <v>3.7411340967429224E-8</v>
      </c>
      <c r="E45" s="27">
        <f t="shared" ref="E45:G45" si="43">IFERROR(IF(AND(E46&lt;&gt;0,E47&lt;&gt;0),1/SUM(1/E46,1/E47),IF(AND(E46&lt;&gt;0,E47=0),1/(1/E46),IF(AND(E46=0,E47&lt;&gt;0),1/(1/E47),IF(AND(E46=0,E47=0),".")))),".")</f>
        <v>4.642530099925268E-5</v>
      </c>
      <c r="F45" s="27">
        <f t="shared" si="43"/>
        <v>2.3619228255008185E-5</v>
      </c>
      <c r="G45" s="28">
        <f t="shared" si="43"/>
        <v>3.7322149417281933E-8</v>
      </c>
      <c r="H45" s="45"/>
      <c r="I45" s="45"/>
      <c r="J45" s="45"/>
      <c r="K45" s="46">
        <f>IFERROR(IF(SUM(H46:H47)&gt;0.01,1-EXP(-SUM(H46:H47)),SUM(H46:H47)),".")</f>
        <v>1</v>
      </c>
      <c r="L45" s="46">
        <f>IFERROR(IF(SUM(I46:I47)&gt;0.01,1-EXP(-SUM(I46:I47)),SUM(I46:I47)),".")</f>
        <v>0.6593837972699812</v>
      </c>
      <c r="M45" s="46">
        <f>IFERROR(IF(SUM(J46:J47)&gt;0.01,1-EXP(-SUM(J46:J47)),SUM(J46:J47)),".")</f>
        <v>0.87959801913765279</v>
      </c>
      <c r="N45" s="46">
        <f>IFERROR(IF(SUM(H46:J47)&gt;0.01,1-EXP(-SUM(H46:J47)),SUM(H46:J47)),".")</f>
        <v>1</v>
      </c>
      <c r="O45" s="27">
        <f t="shared" ref="O45:S45" si="44">IFERROR(IF(AND(O46&lt;&gt;0,O47&lt;&gt;0),1/SUM(1/O46,1/O47),IF(AND(O46&lt;&gt;0,O47=0),1/(1/O46),IF(AND(O46=0,O47&lt;&gt;0),1/(1/O47),IF(AND(O46=0,O47=0),".")))),".")</f>
        <v>2.3619228255008185E-5</v>
      </c>
      <c r="P45" s="27">
        <f t="shared" si="44"/>
        <v>4.0304374552807869E-5</v>
      </c>
      <c r="Q45" s="27">
        <f t="shared" si="44"/>
        <v>2.8637265186322229E-5</v>
      </c>
      <c r="R45" s="27">
        <f t="shared" si="44"/>
        <v>2.4917090520755078E-5</v>
      </c>
      <c r="S45" s="27">
        <f t="shared" si="44"/>
        <v>6.7729291215221684E-5</v>
      </c>
      <c r="T45" s="45"/>
      <c r="U45" s="45"/>
      <c r="V45" s="45"/>
      <c r="W45" s="45"/>
      <c r="X45" s="45"/>
      <c r="Y45" s="46">
        <f>IFERROR(IF(SUM(T46:T47)&gt;0.01,1-EXP(-SUM(T46:T47)),SUM(T46:T47)),".")</f>
        <v>0.87959801913765279</v>
      </c>
      <c r="Z45" s="46">
        <f t="shared" ref="Z45:AC45" si="45">IFERROR(IF(SUM(U46:U47)&gt;0.01,1-EXP(-SUM(U46:U47)),SUM(U46:U47)),".")</f>
        <v>0.71077782848758519</v>
      </c>
      <c r="AA45" s="46">
        <f t="shared" si="45"/>
        <v>0.82552551712481603</v>
      </c>
      <c r="AB45" s="46">
        <f t="shared" si="45"/>
        <v>0.86556235969009876</v>
      </c>
      <c r="AC45" s="46">
        <f t="shared" si="45"/>
        <v>0.52204229413853309</v>
      </c>
      <c r="AD45" s="27">
        <f t="shared" ref="AD45:AF45" si="46">IFERROR(IF(AND(AD46&lt;&gt;0,AD47&lt;&gt;0),1/SUM(1/AD46,1/AD47),IF(AND(AD46&lt;&gt;0,AD47=0),1/(1/AD46),IF(AND(AD46=0,AD47&lt;&gt;0),1/(1/AD47),IF(AND(AD46=0,AD47=0),".")))),".")</f>
        <v>1.4964536386971689E-10</v>
      </c>
      <c r="AE45" s="27">
        <f t="shared" si="46"/>
        <v>3.2772334687468002E-6</v>
      </c>
      <c r="AF45" s="28">
        <f t="shared" si="46"/>
        <v>1.4963853106007947E-10</v>
      </c>
      <c r="AG45" s="45"/>
      <c r="AH45" s="45"/>
      <c r="AI45" s="46">
        <f>IFERROR(IF(SUM(AG46:AG47)&gt;0.01,1-EXP(-SUM(AG46:AG47)),SUM(AG46:AG47)),".")</f>
        <v>1</v>
      </c>
      <c r="AJ45" s="46">
        <f>IFERROR(IF(SUM(AH46:AH47)&gt;0.01,1-EXP(-SUM(AH46:AH47)),SUM(AH46:AH47)),".")</f>
        <v>0.99999976337064744</v>
      </c>
      <c r="AK45" s="46">
        <f>IFERROR(IF(SUM(AG46:AH47)&gt;0.01,1-EXP(-SUM(AG46:AH47)),SUM(AG46:AH47)),".")</f>
        <v>1</v>
      </c>
    </row>
    <row r="46" spans="1:37" x14ac:dyDescent="0.25">
      <c r="A46" s="29" t="s">
        <v>303</v>
      </c>
      <c r="B46" s="24">
        <v>1</v>
      </c>
      <c r="C46" s="2"/>
      <c r="D46" s="30">
        <f>IFERROR(D10/$B46,0)</f>
        <v>7.272727272727274E-8</v>
      </c>
      <c r="E46" s="30">
        <f>IFERROR(E10/$B46,0)</f>
        <v>9.0250320889537203E-5</v>
      </c>
      <c r="F46" s="30">
        <f>IFERROR(F10/$B46,0)</f>
        <v>4.9753766233766238E-5</v>
      </c>
      <c r="G46" s="30">
        <f t="shared" si="22"/>
        <v>7.2562730672032604E-8</v>
      </c>
      <c r="H46" s="38">
        <f>IFERROR(up_RadSpec!$I$10*H10,".")*$B$46</f>
        <v>687.5</v>
      </c>
      <c r="I46" s="38">
        <f>IFERROR(up_RadSpec!$G$10*I10,".")*$B$46</f>
        <v>0.55401465066476618</v>
      </c>
      <c r="J46" s="38">
        <f>IFERROR(up_RadSpec!$F$10*J10,".")*$B$46</f>
        <v>1.0049490477781491</v>
      </c>
      <c r="K46" s="47">
        <f t="shared" ref="K46:M47" si="47">IFERROR(IF(H46&gt;0.01,1-EXP(-H46),H46),".")</f>
        <v>1</v>
      </c>
      <c r="L46" s="47">
        <f t="shared" si="47"/>
        <v>0.42536179830386023</v>
      </c>
      <c r="M46" s="47">
        <f t="shared" si="47"/>
        <v>0.63393671393338713</v>
      </c>
      <c r="N46" s="47">
        <f t="shared" ref="N46:N47" si="48">IFERROR(IF(SUM(H46:J46)&gt;0.01,1-EXP(-SUM(H46:J46)),SUM(H46:J46)),".")</f>
        <v>1</v>
      </c>
      <c r="O46" s="30">
        <f t="shared" ref="O46:S46" si="49">IFERROR(O10/$B46,0)</f>
        <v>4.9753766233766238E-5</v>
      </c>
      <c r="P46" s="30">
        <f t="shared" si="49"/>
        <v>7.7529581529581511E-5</v>
      </c>
      <c r="Q46" s="30">
        <f t="shared" si="49"/>
        <v>5.5366265416759952E-5</v>
      </c>
      <c r="R46" s="30">
        <f t="shared" si="49"/>
        <v>5.0638919313618115E-5</v>
      </c>
      <c r="S46" s="30">
        <f t="shared" si="49"/>
        <v>1.3033370352742084E-4</v>
      </c>
      <c r="T46" s="38">
        <f>IFERROR(up_RadSpec!$F$10*T10,".")*$B46</f>
        <v>1.0049490477781491</v>
      </c>
      <c r="U46" s="38">
        <f>IFERROR(up_RadSpec!$M$10*U10,".")*$B46</f>
        <v>0.64491512805241247</v>
      </c>
      <c r="V46" s="38">
        <f>IFERROR(up_RadSpec!$N$10*V10,".")*$B46</f>
        <v>0.90307698421834481</v>
      </c>
      <c r="W46" s="38">
        <f>IFERROR(up_RadSpec!$O$10*W10,".")*$B46</f>
        <v>0.98738284066330229</v>
      </c>
      <c r="X46" s="38">
        <f>IFERROR(up_RadSpec!$K$10*X10,".")*$B46</f>
        <v>0.38363062390443414</v>
      </c>
      <c r="Y46" s="47">
        <f t="shared" ref="Y46:AC47" si="50">IFERROR(IF(T46&gt;0.01,1-EXP(-T46),T46),".")</f>
        <v>0.63393671393338713</v>
      </c>
      <c r="Z46" s="47">
        <f t="shared" si="50"/>
        <v>0.4752929268719418</v>
      </c>
      <c r="AA46" s="47">
        <f t="shared" si="50"/>
        <v>0.59467942599202628</v>
      </c>
      <c r="AB46" s="47">
        <f t="shared" si="50"/>
        <v>0.62744955989930995</v>
      </c>
      <c r="AC46" s="47">
        <f t="shared" si="50"/>
        <v>0.31861693268124913</v>
      </c>
      <c r="AD46" s="30">
        <f t="shared" ref="AD46:AF46" si="51">IFERROR(AD10/$B46,0)</f>
        <v>2.9090909090909094E-10</v>
      </c>
      <c r="AE46" s="30">
        <f t="shared" si="51"/>
        <v>6.3709090909090908E-6</v>
      </c>
      <c r="AF46" s="30">
        <f t="shared" si="51"/>
        <v>2.9089580799548386E-10</v>
      </c>
      <c r="AG46" s="38">
        <f>IFERROR(up_RadSpec!$G$10*AG10,".")*$B$46</f>
        <v>171875</v>
      </c>
      <c r="AH46" s="38">
        <f>IFERROR(up_RadSpec!$J$10*AH10,".")*$B$46</f>
        <v>7.8481735159817356</v>
      </c>
      <c r="AI46" s="47">
        <f>IFERROR(IF(AG46&gt;0.01,1-EXP(-AG46),AG46),".")</f>
        <v>1</v>
      </c>
      <c r="AJ46" s="47">
        <f>IFERROR(IF(AH46&gt;0.01,1-EXP(-AH46),AH46),".")</f>
        <v>0.99960953550549536</v>
      </c>
      <c r="AK46" s="47">
        <f>IFERROR(IF(SUM(AG46:AH46)&gt;0.01,1-EXP(-SUM(AG46:AH46)),SUM(AG46:AH46)),".")</f>
        <v>1</v>
      </c>
    </row>
    <row r="47" spans="1:37" x14ac:dyDescent="0.25">
      <c r="A47" s="29" t="s">
        <v>304</v>
      </c>
      <c r="B47" s="32">
        <v>0.94399</v>
      </c>
      <c r="C47" s="2"/>
      <c r="D47" s="30">
        <f>IFERROR(D6/$B$47,0)</f>
        <v>7.7042418592646894E-8</v>
      </c>
      <c r="E47" s="30">
        <f>IFERROR(E6/$B$47,0)</f>
        <v>9.5605166251270892E-5</v>
      </c>
      <c r="F47" s="30">
        <f>IFERROR(F6/$B$47,0)</f>
        <v>4.4965231915589747E-5</v>
      </c>
      <c r="G47" s="30">
        <f t="shared" si="22"/>
        <v>7.6848819736834048E-8</v>
      </c>
      <c r="H47" s="38">
        <f>IFERROR(up_RadSpec!$I$6*H6,".")*$B$47</f>
        <v>648.99312499999996</v>
      </c>
      <c r="I47" s="38">
        <f>IFERROR(up_RadSpec!$G$6*I6,".")*$B$47</f>
        <v>0.52298429008103264</v>
      </c>
      <c r="J47" s="38">
        <f>IFERROR(up_RadSpec!$F$6*J6,".")*$B$47</f>
        <v>1.1119702461195291</v>
      </c>
      <c r="K47" s="47">
        <f t="shared" si="47"/>
        <v>1</v>
      </c>
      <c r="L47" s="47">
        <f t="shared" si="47"/>
        <v>0.40725102903943111</v>
      </c>
      <c r="M47" s="47">
        <f t="shared" si="47"/>
        <v>0.67108971195642497</v>
      </c>
      <c r="N47" s="47">
        <f t="shared" si="48"/>
        <v>1</v>
      </c>
      <c r="O47" s="30">
        <f t="shared" ref="O47:S47" si="52">IFERROR(O6/$B$47,0)</f>
        <v>4.4965231915589747E-5</v>
      </c>
      <c r="P47" s="30">
        <f t="shared" si="52"/>
        <v>8.3942617024007128E-5</v>
      </c>
      <c r="Q47" s="30">
        <f t="shared" si="52"/>
        <v>5.9319032191504114E-5</v>
      </c>
      <c r="R47" s="30">
        <f t="shared" si="52"/>
        <v>4.9054619971684757E-5</v>
      </c>
      <c r="S47" s="30">
        <f t="shared" si="52"/>
        <v>1.4100299060944838E-4</v>
      </c>
      <c r="T47" s="38">
        <f>IFERROR(up_RadSpec!$F$6*T6,".")*$B47</f>
        <v>1.1119702461195291</v>
      </c>
      <c r="U47" s="38">
        <f>IFERROR(up_RadSpec!$M$6*U6,".")*$B47</f>
        <v>0.59564499860303721</v>
      </c>
      <c r="V47" s="38">
        <f>IFERROR(up_RadSpec!$N$6*V6,".")*$B47</f>
        <v>0.84289979375558999</v>
      </c>
      <c r="W47" s="38">
        <f>IFERROR(up_RadSpec!$O$6*W6,".")*$B47</f>
        <v>1.0192719876101566</v>
      </c>
      <c r="X47" s="38">
        <f>IFERROR(up_RadSpec!$K$6*X6,".")*$B47</f>
        <v>0.35460240796232867</v>
      </c>
      <c r="Y47" s="47">
        <f t="shared" si="50"/>
        <v>0.67108971195642497</v>
      </c>
      <c r="Z47" s="47">
        <f t="shared" si="50"/>
        <v>0.44879307650989453</v>
      </c>
      <c r="AA47" s="47">
        <f t="shared" si="50"/>
        <v>0.56953953471961793</v>
      </c>
      <c r="AB47" s="47">
        <f t="shared" si="50"/>
        <v>0.63914244666154052</v>
      </c>
      <c r="AC47" s="47">
        <f t="shared" si="50"/>
        <v>0.29854772038548705</v>
      </c>
      <c r="AD47" s="30">
        <f t="shared" ref="AD47:AF47" si="53">IFERROR(AD6/$B$47,0)</f>
        <v>3.0816967437058755E-10</v>
      </c>
      <c r="AE47" s="30">
        <f t="shared" si="53"/>
        <v>6.7489158687158668E-6</v>
      </c>
      <c r="AF47" s="30">
        <f t="shared" si="53"/>
        <v>3.0815560333847168E-10</v>
      </c>
      <c r="AG47" s="38">
        <f>IFERROR(up_RadSpec!$G$6*AG6,".")*$B$47</f>
        <v>162248.28125</v>
      </c>
      <c r="AH47" s="38">
        <f>IFERROR(up_RadSpec!$J$6*AH6,".")*$B$47</f>
        <v>7.4085973173515987</v>
      </c>
      <c r="AI47" s="47">
        <f>IFERROR(IF(AG47&gt;0.01,1-EXP(-AG47),AG47),".")</f>
        <v>1</v>
      </c>
      <c r="AJ47" s="47">
        <f>IFERROR(IF(AH47&gt;0.01,1-EXP(-AH47),AH47),".")</f>
        <v>0.99939397984741163</v>
      </c>
      <c r="AK47" s="47">
        <f>IFERROR(IF(SUM(AG47:AH47)&gt;0.01,1-EXP(-SUM(AG47:AH47)),SUM(AG47:AH47)),".")</f>
        <v>1</v>
      </c>
    </row>
    <row r="48" spans="1:37" x14ac:dyDescent="0.25">
      <c r="A48" s="26" t="s">
        <v>33</v>
      </c>
      <c r="B48" s="26" t="s">
        <v>289</v>
      </c>
      <c r="C48" s="112"/>
      <c r="D48" s="27">
        <f>1/SUM(1/D49,1/D50,1/D51,1/D52,1/D53,1/D54,1/D55,1/D56,1/D57,1/D58,1/D59,1/D60,1/D61,1/D62)</f>
        <v>8.0808068615041138E-9</v>
      </c>
      <c r="E48" s="27">
        <f t="shared" ref="E48:G48" si="54">1/SUM(1/E49,1/E50,1/E51,1/E52,1/E53,1/E54,1/E55,1/E56,1/E57,1/E58,1/E59,1/E60,1/E61,1/E62)</f>
        <v>1.0027811919085404E-5</v>
      </c>
      <c r="F48" s="27">
        <f>1/SUM(1/F49,1/F50,1/F52,1/F54,1/F55,1/F56,1/F57,1/F58,1/F59,1/F60,1/F61,1/F62)</f>
        <v>5.9730603257587581E-6</v>
      </c>
      <c r="G48" s="28">
        <f t="shared" si="54"/>
        <v>8.0634014775225197E-9</v>
      </c>
      <c r="H48" s="45"/>
      <c r="I48" s="45"/>
      <c r="J48" s="45"/>
      <c r="K48" s="46">
        <f>IFERROR(IF(SUM(H49:H62)&gt;0.01,1-EXP(-SUM(H49:H62)),SUM(H49:H62)),".")</f>
        <v>1</v>
      </c>
      <c r="L48" s="46">
        <f>IFERROR(IF(SUM(I49:I62)&gt;0.01,1-EXP(-SUM(I49:I62)),SUM(I49:I62)),".")</f>
        <v>0.99316796437675869</v>
      </c>
      <c r="M48" s="46">
        <f>IFERROR(IF(SUM(J49:J62)&gt;0.01,1-EXP(-SUM(J49:J62)),SUM(J49:J62)),".")</f>
        <v>0.99976849713345395</v>
      </c>
      <c r="N48" s="46">
        <f>IFERROR(IF(SUM(H49:J62)&gt;0.01,1-EXP(-SUM(H49:J62)),SUM(H49:J62)),".")</f>
        <v>1</v>
      </c>
      <c r="O48" s="27">
        <f t="shared" ref="O48:S48" si="55">1/SUM(1/O49,1/O50,1/O52,1/O54,1/O55,1/O56,1/O57,1/O58,1/O59,1/O60,1/O61,1/O62)</f>
        <v>5.9730603257587581E-6</v>
      </c>
      <c r="P48" s="27">
        <f t="shared" si="55"/>
        <v>1.1243919358138259E-5</v>
      </c>
      <c r="Q48" s="27">
        <f t="shared" si="55"/>
        <v>7.9968513615528242E-6</v>
      </c>
      <c r="R48" s="27">
        <f t="shared" si="55"/>
        <v>6.7669381505905345E-6</v>
      </c>
      <c r="S48" s="27">
        <f t="shared" si="55"/>
        <v>1.9339257525101662E-5</v>
      </c>
      <c r="T48" s="45"/>
      <c r="U48" s="45"/>
      <c r="V48" s="45"/>
      <c r="W48" s="45"/>
      <c r="X48" s="45"/>
      <c r="Y48" s="46">
        <f>IFERROR(IF(SUM(T49:T62)&gt;0.01,1-EXP(-SUM(T49:T62)),SUM(T49:T62)),".")</f>
        <v>0.99976849713345395</v>
      </c>
      <c r="Z48" s="46">
        <f t="shared" ref="Z48:AC48" si="56">IFERROR(IF(SUM(U49:U62)&gt;0.01,1-EXP(-SUM(U49:U62)),SUM(U49:U62)),".")</f>
        <v>0.98828456378872975</v>
      </c>
      <c r="AA48" s="46">
        <f t="shared" si="56"/>
        <v>0.99807429056663943</v>
      </c>
      <c r="AB48" s="46">
        <f t="shared" si="56"/>
        <v>0.99938190359314594</v>
      </c>
      <c r="AC48" s="46">
        <f t="shared" si="56"/>
        <v>0.92463517797221895</v>
      </c>
      <c r="AD48" s="27">
        <f t="shared" ref="AD48:AF48" si="57">1/SUM(1/AD49,1/AD50,1/AD51,1/AD52,1/AD53,1/AD54,1/AD55,1/AD56,1/AD57,1/AD58,1/AD59,1/AD60,1/AD61,1/AD62)</f>
        <v>3.2323227446016452E-11</v>
      </c>
      <c r="AE48" s="27">
        <f t="shared" si="57"/>
        <v>7.0787868106776008E-7</v>
      </c>
      <c r="AF48" s="28">
        <f t="shared" si="57"/>
        <v>3.232175156694947E-11</v>
      </c>
      <c r="AG48" s="45"/>
      <c r="AH48" s="45"/>
      <c r="AI48" s="46">
        <f>IFERROR(IF(SUM(AG49:AG62)&gt;0.01,1-EXP(-SUM(AG49:AG62)),SUM(AG49:AG62)),".")</f>
        <v>1</v>
      </c>
      <c r="AJ48" s="46">
        <f>IFERROR(IF(SUM(AH49:AH62)&gt;0.01,1-EXP(-SUM(AH49:AH62)),SUM(AH49:AH62)),".")</f>
        <v>1</v>
      </c>
      <c r="AK48" s="46">
        <f>IFERROR(IF(SUM(AG49:AH62)&gt;0.01,1-EXP(-SUM(AG49:AH62)),SUM(AG49:AH62)),".")</f>
        <v>1</v>
      </c>
    </row>
    <row r="49" spans="1:37" x14ac:dyDescent="0.25">
      <c r="A49" s="29" t="s">
        <v>305</v>
      </c>
      <c r="B49" s="24">
        <v>1</v>
      </c>
      <c r="C49" s="109"/>
      <c r="D49" s="30">
        <f>IFERROR(D23/$B49,0)</f>
        <v>7.272727272727274E-8</v>
      </c>
      <c r="E49" s="30">
        <f>IFERROR(E23/$B49,0)</f>
        <v>9.0250320889537203E-5</v>
      </c>
      <c r="F49" s="30">
        <f>IFERROR(F23/$B49,0)</f>
        <v>3.5003923532849144E-5</v>
      </c>
      <c r="G49" s="30">
        <f t="shared" si="22"/>
        <v>7.2518164521584467E-8</v>
      </c>
      <c r="H49" s="38">
        <f>IFERROR(up_RadSpec!$I$23*H23,".")*$B$49</f>
        <v>687.5</v>
      </c>
      <c r="I49" s="38">
        <f>IFERROR(up_RadSpec!$G$23*I23,".")*$B$49</f>
        <v>0.55401465066476618</v>
      </c>
      <c r="J49" s="38">
        <f>IFERROR(up_RadSpec!$F$23*J23,".")*$B$49</f>
        <v>1.428411302323807</v>
      </c>
      <c r="K49" s="47">
        <f t="shared" ref="K49:M62" si="58">IFERROR(IF(H49&gt;0.01,1-EXP(-H49),H49),".")</f>
        <v>1</v>
      </c>
      <c r="L49" s="47">
        <f t="shared" si="58"/>
        <v>0.42536179830386023</v>
      </c>
      <c r="M49" s="47">
        <f t="shared" si="58"/>
        <v>0.7603105860644801</v>
      </c>
      <c r="N49" s="47">
        <f t="shared" ref="N49:N62" si="59">IFERROR(IF(SUM(H49:J49)&gt;0.01,1-EXP(-SUM(H49:J49)),SUM(H49:J49)),".")</f>
        <v>1</v>
      </c>
      <c r="O49" s="30">
        <f t="shared" ref="O49:S49" si="60">IFERROR(O23/$B49,0)</f>
        <v>3.5003923532849144E-5</v>
      </c>
      <c r="P49" s="30">
        <f t="shared" si="60"/>
        <v>6.2307642417036043E-5</v>
      </c>
      <c r="Q49" s="30">
        <f t="shared" si="60"/>
        <v>4.4059313285674305E-5</v>
      </c>
      <c r="R49" s="30">
        <f t="shared" si="60"/>
        <v>3.6055144855144853E-5</v>
      </c>
      <c r="S49" s="30">
        <f t="shared" si="60"/>
        <v>9.8081956878073384E-5</v>
      </c>
      <c r="T49" s="38">
        <f>IFERROR(up_RadSpec!$F$23*T23,".")*$B$49</f>
        <v>1.428411302323807</v>
      </c>
      <c r="U49" s="38">
        <f>IFERROR(up_RadSpec!$M$23*U23,".")*$B$49</f>
        <v>0.80246977835144506</v>
      </c>
      <c r="V49" s="38">
        <f>IFERROR(up_RadSpec!$N$23*V23,".")*$B$49</f>
        <v>1.1348338471779427</v>
      </c>
      <c r="W49" s="38">
        <f>IFERROR(up_RadSpec!$O$23*W23,".")*$B$49</f>
        <v>1.3867646406880352</v>
      </c>
      <c r="X49" s="38">
        <f>IFERROR(up_RadSpec!$K$23*X23,".")*$B$49</f>
        <v>0.50977775720926422</v>
      </c>
      <c r="Y49" s="47">
        <f t="shared" ref="Y49:AC62" si="61">IFERROR(IF(T49&gt;0.01,1-EXP(-T49),T49),".")</f>
        <v>0.7603105860644801</v>
      </c>
      <c r="Z49" s="47">
        <f t="shared" si="61"/>
        <v>0.55177940954898408</v>
      </c>
      <c r="AA49" s="47">
        <f t="shared" si="61"/>
        <v>0.67852446903611985</v>
      </c>
      <c r="AB49" s="47">
        <f t="shared" si="61"/>
        <v>0.75011754225101024</v>
      </c>
      <c r="AC49" s="47">
        <f t="shared" si="61"/>
        <v>0.39937095054357952</v>
      </c>
      <c r="AD49" s="30">
        <f t="shared" ref="AD49:AF49" si="62">IFERROR(AD23/$B49,0)</f>
        <v>2.9090909090909094E-10</v>
      </c>
      <c r="AE49" s="30">
        <f t="shared" si="62"/>
        <v>6.3709090909090908E-6</v>
      </c>
      <c r="AF49" s="30">
        <f t="shared" si="62"/>
        <v>2.9089580799548386E-10</v>
      </c>
      <c r="AG49" s="38">
        <f>IFERROR(up_RadSpec!$G$23*AG23,".")*$B$49</f>
        <v>171875</v>
      </c>
      <c r="AH49" s="38">
        <f>IFERROR(up_RadSpec!$J$23*AH23,".")*$B$49</f>
        <v>7.8481735159817356</v>
      </c>
      <c r="AI49" s="47">
        <f t="shared" ref="AI49:AJ62" si="63">IFERROR(IF(AG49&gt;0.01,1-EXP(-AG49),AG49),".")</f>
        <v>1</v>
      </c>
      <c r="AJ49" s="47">
        <f t="shared" si="63"/>
        <v>0.99960953550549536</v>
      </c>
      <c r="AK49" s="47">
        <f t="shared" ref="AK49:AK62" si="64">IFERROR(IF(SUM(AG49:AH49)&gt;0.01,1-EXP(-SUM(AG49:AH49)),SUM(AG49:AH49)),".")</f>
        <v>1</v>
      </c>
    </row>
    <row r="50" spans="1:37" x14ac:dyDescent="0.25">
      <c r="A50" s="29" t="s">
        <v>306</v>
      </c>
      <c r="B50" s="24">
        <v>1</v>
      </c>
      <c r="C50" s="109"/>
      <c r="D50" s="30">
        <f>IFERROR(D25/$B50,0)</f>
        <v>7.272727272727274E-8</v>
      </c>
      <c r="E50" s="30">
        <f>IFERROR(E25/$B50,0)</f>
        <v>9.0250320889537203E-5</v>
      </c>
      <c r="F50" s="30">
        <f>IFERROR(F25/$B50,0)</f>
        <v>5.1171960569550945E-5</v>
      </c>
      <c r="G50" s="30">
        <f t="shared" si="22"/>
        <v>7.2565663742643228E-8</v>
      </c>
      <c r="H50" s="38">
        <f>IFERROR(up_RadSpec!$I$25*H25,".")*$B$50</f>
        <v>687.5</v>
      </c>
      <c r="I50" s="38">
        <f>IFERROR(up_RadSpec!$G$25*I25,".")*$B$50</f>
        <v>0.55401465066476618</v>
      </c>
      <c r="J50" s="38">
        <f>IFERROR(up_RadSpec!$F$25*J25,".")*$B$50</f>
        <v>0.97709760273972601</v>
      </c>
      <c r="K50" s="47">
        <f t="shared" si="58"/>
        <v>1</v>
      </c>
      <c r="L50" s="47">
        <f t="shared" si="58"/>
        <v>0.42536179830386023</v>
      </c>
      <c r="M50" s="47">
        <f t="shared" si="58"/>
        <v>0.62359801691963745</v>
      </c>
      <c r="N50" s="47">
        <f t="shared" si="59"/>
        <v>1</v>
      </c>
      <c r="O50" s="30">
        <f t="shared" ref="O50:S50" si="65">IFERROR(O25/$B50,0)</f>
        <v>5.1171960569550945E-5</v>
      </c>
      <c r="P50" s="30">
        <f t="shared" si="65"/>
        <v>9.1638362553616787E-5</v>
      </c>
      <c r="Q50" s="30">
        <f t="shared" si="65"/>
        <v>6.5732694272020137E-5</v>
      </c>
      <c r="R50" s="30">
        <f t="shared" si="65"/>
        <v>5.8697641341709148E-5</v>
      </c>
      <c r="S50" s="30">
        <f t="shared" si="65"/>
        <v>1.6429752066115703E-4</v>
      </c>
      <c r="T50" s="38">
        <f>IFERROR(up_RadSpec!$F$25*T25,".")*$B$50</f>
        <v>0.97709760273972601</v>
      </c>
      <c r="U50" s="38">
        <f>IFERROR(up_RadSpec!$M$25*U25,".")*$B$50</f>
        <v>0.54562301864293428</v>
      </c>
      <c r="V50" s="38">
        <f>IFERROR(up_RadSpec!$N$25*V25,".")*$B$50</f>
        <v>0.76065648234478467</v>
      </c>
      <c r="W50" s="38">
        <f>IFERROR(up_RadSpec!$O$25*W25,".")*$B$50</f>
        <v>0.85182298397518741</v>
      </c>
      <c r="X50" s="38">
        <f>IFERROR(up_RadSpec!$K$25*X25,".")*$B$50</f>
        <v>0.30432595573440646</v>
      </c>
      <c r="Y50" s="47">
        <f t="shared" si="61"/>
        <v>0.62359801691963745</v>
      </c>
      <c r="Z50" s="47">
        <f t="shared" si="61"/>
        <v>0.42051935639105265</v>
      </c>
      <c r="AA50" s="47">
        <f t="shared" si="61"/>
        <v>0.53264048698983768</v>
      </c>
      <c r="AB50" s="47">
        <f t="shared" si="61"/>
        <v>0.57336352884660768</v>
      </c>
      <c r="AC50" s="47">
        <f t="shared" si="61"/>
        <v>0.26237960433647745</v>
      </c>
      <c r="AD50" s="30">
        <f t="shared" ref="AD50:AF50" si="66">IFERROR(AD25/$B50,0)</f>
        <v>2.9090909090909094E-10</v>
      </c>
      <c r="AE50" s="30">
        <f t="shared" si="66"/>
        <v>6.3709090909090908E-6</v>
      </c>
      <c r="AF50" s="30">
        <f t="shared" si="66"/>
        <v>2.9089580799548386E-10</v>
      </c>
      <c r="AG50" s="38">
        <f>IFERROR(up_RadSpec!$G$25*AG$25,".")*$B$50</f>
        <v>171875</v>
      </c>
      <c r="AH50" s="38">
        <f>IFERROR(up_RadSpec!$J$25*AH25,".")*$B$50</f>
        <v>7.8481735159817356</v>
      </c>
      <c r="AI50" s="47">
        <f t="shared" si="63"/>
        <v>1</v>
      </c>
      <c r="AJ50" s="47">
        <f t="shared" si="63"/>
        <v>0.99960953550549536</v>
      </c>
      <c r="AK50" s="47">
        <f t="shared" si="64"/>
        <v>1</v>
      </c>
    </row>
    <row r="51" spans="1:37" x14ac:dyDescent="0.25">
      <c r="A51" s="29" t="s">
        <v>307</v>
      </c>
      <c r="B51" s="24">
        <v>1</v>
      </c>
      <c r="C51" s="109"/>
      <c r="D51" s="30">
        <f>IFERROR(D21/$B51,0)</f>
        <v>7.272727272727274E-8</v>
      </c>
      <c r="E51" s="30">
        <f>IFERROR(E21/$B51,0)</f>
        <v>9.0250320889537203E-5</v>
      </c>
      <c r="F51" s="30">
        <f>IFERROR(F21/$B51,0)</f>
        <v>0</v>
      </c>
      <c r="G51" s="30">
        <f t="shared" si="22"/>
        <v>7.26687134081846E-8</v>
      </c>
      <c r="H51" s="38">
        <f>IFERROR(up_RadSpec!$I$21*H21,".")*$B$51</f>
        <v>687.5</v>
      </c>
      <c r="I51" s="38">
        <f>IFERROR(up_RadSpec!$G$21*I21,".")*$B$51</f>
        <v>0.55401465066476618</v>
      </c>
      <c r="J51" s="38">
        <f>IFERROR(up_RadSpec!$F$21*J21,".")*$B$51</f>
        <v>0</v>
      </c>
      <c r="K51" s="47">
        <f t="shared" si="58"/>
        <v>1</v>
      </c>
      <c r="L51" s="47">
        <f t="shared" si="58"/>
        <v>0.42536179830386023</v>
      </c>
      <c r="M51" s="47">
        <f t="shared" si="58"/>
        <v>0</v>
      </c>
      <c r="N51" s="47">
        <f t="shared" si="59"/>
        <v>1</v>
      </c>
      <c r="O51" s="30">
        <f t="shared" ref="O51:S51" si="67">IFERROR(O21/$B51,0)</f>
        <v>0</v>
      </c>
      <c r="P51" s="30">
        <f t="shared" si="67"/>
        <v>0</v>
      </c>
      <c r="Q51" s="30">
        <f t="shared" si="67"/>
        <v>0</v>
      </c>
      <c r="R51" s="30">
        <f t="shared" si="67"/>
        <v>0</v>
      </c>
      <c r="S51" s="30">
        <f t="shared" si="67"/>
        <v>0</v>
      </c>
      <c r="T51" s="38">
        <f>IFERROR(up_RadSpec!$F$21*T21,".")*$B$51</f>
        <v>0</v>
      </c>
      <c r="U51" s="38">
        <f>IFERROR(up_RadSpec!$M$21*U21,".")*$B$51</f>
        <v>0</v>
      </c>
      <c r="V51" s="38">
        <f>IFERROR(up_RadSpec!$N$21*V21,".")*$B$51</f>
        <v>0</v>
      </c>
      <c r="W51" s="38">
        <f>IFERROR(up_RadSpec!$O$21*W21,".")*$B$51</f>
        <v>0</v>
      </c>
      <c r="X51" s="38">
        <f>IFERROR(up_RadSpec!$K$21*X21,".")*$B$51</f>
        <v>0</v>
      </c>
      <c r="Y51" s="47">
        <f t="shared" si="61"/>
        <v>0</v>
      </c>
      <c r="Z51" s="47">
        <f t="shared" si="61"/>
        <v>0</v>
      </c>
      <c r="AA51" s="47">
        <f t="shared" si="61"/>
        <v>0</v>
      </c>
      <c r="AB51" s="47">
        <f t="shared" si="61"/>
        <v>0</v>
      </c>
      <c r="AC51" s="47">
        <f t="shared" si="61"/>
        <v>0</v>
      </c>
      <c r="AD51" s="30">
        <f t="shared" ref="AD51:AF51" si="68">IFERROR(AD21/$B51,0)</f>
        <v>2.9090909090909094E-10</v>
      </c>
      <c r="AE51" s="30">
        <f t="shared" si="68"/>
        <v>6.3709090909090908E-6</v>
      </c>
      <c r="AF51" s="30">
        <f t="shared" si="68"/>
        <v>2.9089580799548386E-10</v>
      </c>
      <c r="AG51" s="38">
        <f>IFERROR(up_RadSpec!$G$21*AG21,".")*$B$51</f>
        <v>171875</v>
      </c>
      <c r="AH51" s="38">
        <f>IFERROR(up_RadSpec!$J$21*AH21,".")*$B$51</f>
        <v>7.8481735159817356</v>
      </c>
      <c r="AI51" s="47">
        <f t="shared" si="63"/>
        <v>1</v>
      </c>
      <c r="AJ51" s="47">
        <f t="shared" si="63"/>
        <v>0.99960953550549536</v>
      </c>
      <c r="AK51" s="47">
        <f t="shared" si="64"/>
        <v>1</v>
      </c>
    </row>
    <row r="52" spans="1:37" x14ac:dyDescent="0.25">
      <c r="A52" s="29" t="s">
        <v>308</v>
      </c>
      <c r="B52" s="32">
        <v>0.99980000000000002</v>
      </c>
      <c r="C52" s="109"/>
      <c r="D52" s="30">
        <f>IFERROR(D17/$B52,0)</f>
        <v>7.2741821091491036E-8</v>
      </c>
      <c r="E52" s="30">
        <f>IFERROR(E17/$B52,0)</f>
        <v>9.0268374564450091E-5</v>
      </c>
      <c r="F52" s="30">
        <f>IFERROR(F17/$B52,0)</f>
        <v>7.0342285694447007E-5</v>
      </c>
      <c r="G52" s="30">
        <f t="shared" si="22"/>
        <v>7.2608225458765041E-8</v>
      </c>
      <c r="H52" s="38">
        <f>IFERROR(up_RadSpec!$I$17*H17,".")*$B$52</f>
        <v>687.36250000000007</v>
      </c>
      <c r="I52" s="38">
        <f>IFERROR(up_RadSpec!$G$17*I17,".")*$B$52</f>
        <v>0.55390384773463319</v>
      </c>
      <c r="J52" s="38">
        <f>IFERROR(up_RadSpec!$F$17*J17,".")*$B$52</f>
        <v>0.71080999865699757</v>
      </c>
      <c r="K52" s="47">
        <f t="shared" si="58"/>
        <v>1</v>
      </c>
      <c r="L52" s="47">
        <f t="shared" si="58"/>
        <v>0.42529812317971594</v>
      </c>
      <c r="M52" s="47">
        <f t="shared" si="58"/>
        <v>0.50875387243889236</v>
      </c>
      <c r="N52" s="47">
        <f t="shared" si="59"/>
        <v>1</v>
      </c>
      <c r="O52" s="30">
        <f t="shared" ref="O52:S52" si="69">IFERROR(O17/$B52,0)</f>
        <v>7.0342285694447007E-5</v>
      </c>
      <c r="P52" s="30">
        <f t="shared" si="69"/>
        <v>1.2293785520792731E-4</v>
      </c>
      <c r="Q52" s="30">
        <f t="shared" si="69"/>
        <v>9.2623153705958522E-5</v>
      </c>
      <c r="R52" s="30">
        <f t="shared" si="69"/>
        <v>8.2363423450425844E-5</v>
      </c>
      <c r="S52" s="30">
        <f t="shared" si="69"/>
        <v>2.3556566311846343E-4</v>
      </c>
      <c r="T52" s="38">
        <f>IFERROR(up_RadSpec!$F$17*T17,".")*$B$52</f>
        <v>0.71080999865699757</v>
      </c>
      <c r="U52" s="38">
        <f>IFERROR(up_RadSpec!$M$17*U17,".")*$B$52</f>
        <v>0.40670955187426988</v>
      </c>
      <c r="V52" s="38">
        <f>IFERROR(up_RadSpec!$N$17*V17,".")*$B$52</f>
        <v>0.53982182639483445</v>
      </c>
      <c r="W52" s="38">
        <f>IFERROR(up_RadSpec!$O$17*W17,".")*$B$52</f>
        <v>0.60706558694824997</v>
      </c>
      <c r="X52" s="38">
        <f>IFERROR(up_RadSpec!$K$17*X17,".")*$B$52</f>
        <v>0.21225504319301217</v>
      </c>
      <c r="Y52" s="47">
        <f t="shared" si="61"/>
        <v>0.50875387243889236</v>
      </c>
      <c r="Z52" s="47">
        <f t="shared" si="61"/>
        <v>0.33416244651137428</v>
      </c>
      <c r="AA52" s="47">
        <f t="shared" si="61"/>
        <v>0.41714790801851698</v>
      </c>
      <c r="AB52" s="47">
        <f t="shared" si="61"/>
        <v>0.45505237341634774</v>
      </c>
      <c r="AC52" s="47">
        <f t="shared" si="61"/>
        <v>0.19124159706486266</v>
      </c>
      <c r="AD52" s="30">
        <f t="shared" ref="AD52:AF52" si="70">IFERROR(AD17/$B52,0)</f>
        <v>2.9096728436596413E-10</v>
      </c>
      <c r="AE52" s="30">
        <f t="shared" si="70"/>
        <v>6.3721835276146137E-6</v>
      </c>
      <c r="AF52" s="30">
        <f t="shared" si="70"/>
        <v>2.9095399879524292E-10</v>
      </c>
      <c r="AG52" s="38">
        <f>IFERROR(up_RadSpec!$G$17*AG17,".")*$B$52</f>
        <v>171840.625</v>
      </c>
      <c r="AH52" s="38">
        <f>IFERROR(up_RadSpec!$J$17*AH17,".")*$B$52</f>
        <v>7.846603881278539</v>
      </c>
      <c r="AI52" s="47">
        <f t="shared" si="63"/>
        <v>1</v>
      </c>
      <c r="AJ52" s="47">
        <f t="shared" si="63"/>
        <v>0.99960892213761854</v>
      </c>
      <c r="AK52" s="47">
        <f t="shared" si="64"/>
        <v>1</v>
      </c>
    </row>
    <row r="53" spans="1:37" x14ac:dyDescent="0.25">
      <c r="A53" s="29" t="s">
        <v>309</v>
      </c>
      <c r="B53" s="24">
        <v>2.0000000000000001E-4</v>
      </c>
      <c r="C53" s="109"/>
      <c r="D53" s="30">
        <f>IFERROR(D5/$B53,0)</f>
        <v>3.6363636363636367E-4</v>
      </c>
      <c r="E53" s="30">
        <f>IFERROR(E5/$B53,0)</f>
        <v>0.45125160444768597</v>
      </c>
      <c r="F53" s="30">
        <f>IFERROR(F5/$B53,0)</f>
        <v>0</v>
      </c>
      <c r="G53" s="30">
        <f t="shared" si="22"/>
        <v>3.6334356704092303E-4</v>
      </c>
      <c r="H53" s="38">
        <f>IFERROR(up_RadSpec!$I$5*H5,".")*$B$53</f>
        <v>0.13750000000000001</v>
      </c>
      <c r="I53" s="38">
        <f>IFERROR(up_RadSpec!$G$5*I5,".")*$B$53</f>
        <v>1.1080293013295324E-4</v>
      </c>
      <c r="J53" s="38">
        <f>IFERROR(up_RadSpec!$F$5*J5,".")*$B$53</f>
        <v>0</v>
      </c>
      <c r="K53" s="47">
        <f t="shared" si="58"/>
        <v>0.12846565000284216</v>
      </c>
      <c r="L53" s="47">
        <f t="shared" si="58"/>
        <v>1.1080293013295324E-4</v>
      </c>
      <c r="M53" s="47">
        <f t="shared" si="58"/>
        <v>0</v>
      </c>
      <c r="N53" s="47">
        <f t="shared" si="59"/>
        <v>0.12856221321269123</v>
      </c>
      <c r="O53" s="30">
        <f t="shared" ref="O53:S53" si="71">IFERROR(O5/$B53,0)</f>
        <v>0</v>
      </c>
      <c r="P53" s="30">
        <f t="shared" si="71"/>
        <v>0</v>
      </c>
      <c r="Q53" s="30">
        <f t="shared" si="71"/>
        <v>0</v>
      </c>
      <c r="R53" s="30">
        <f t="shared" si="71"/>
        <v>0</v>
      </c>
      <c r="S53" s="30">
        <f t="shared" si="71"/>
        <v>0</v>
      </c>
      <c r="T53" s="38">
        <f>IFERROR(up_RadSpec!$F$5*T5,".")*$B$53</f>
        <v>0</v>
      </c>
      <c r="U53" s="38">
        <f>IFERROR(up_RadSpec!$M$5*U5,".")*$B$53</f>
        <v>0</v>
      </c>
      <c r="V53" s="38">
        <f>IFERROR(up_RadSpec!$N$5*V5,".")*$B$53</f>
        <v>0</v>
      </c>
      <c r="W53" s="38">
        <f>IFERROR(up_RadSpec!$O$5*W5,".")*$B$53</f>
        <v>0</v>
      </c>
      <c r="X53" s="38">
        <f>IFERROR(up_RadSpec!$K$5*X5,".")*$B$53</f>
        <v>0</v>
      </c>
      <c r="Y53" s="47">
        <f t="shared" si="61"/>
        <v>0</v>
      </c>
      <c r="Z53" s="47">
        <f t="shared" si="61"/>
        <v>0</v>
      </c>
      <c r="AA53" s="47">
        <f t="shared" si="61"/>
        <v>0</v>
      </c>
      <c r="AB53" s="47">
        <f t="shared" si="61"/>
        <v>0</v>
      </c>
      <c r="AC53" s="47">
        <f t="shared" si="61"/>
        <v>0</v>
      </c>
      <c r="AD53" s="30">
        <f t="shared" ref="AD53:AF53" si="72">IFERROR(AD5/$B53,0)</f>
        <v>1.4545454545454546E-6</v>
      </c>
      <c r="AE53" s="30">
        <f t="shared" si="72"/>
        <v>3.1854545454545455E-2</v>
      </c>
      <c r="AF53" s="30">
        <f t="shared" si="72"/>
        <v>1.4544790399774192E-6</v>
      </c>
      <c r="AG53" s="38">
        <f>IFERROR(up_RadSpec!$G$5*AG5,".")*$B$53</f>
        <v>34.375</v>
      </c>
      <c r="AH53" s="38">
        <f>IFERROR(up_RadSpec!$J$5*AH5,".")*$B$53</f>
        <v>1.5696347031963472E-3</v>
      </c>
      <c r="AI53" s="47">
        <f t="shared" si="63"/>
        <v>0.99999999999999878</v>
      </c>
      <c r="AJ53" s="47">
        <f t="shared" si="63"/>
        <v>1.5696347031963472E-3</v>
      </c>
      <c r="AK53" s="47">
        <f t="shared" si="64"/>
        <v>0.99999999999999878</v>
      </c>
    </row>
    <row r="54" spans="1:37" x14ac:dyDescent="0.25">
      <c r="A54" s="29" t="s">
        <v>310</v>
      </c>
      <c r="B54" s="24">
        <v>0.99999979999999999</v>
      </c>
      <c r="C54" s="109"/>
      <c r="D54" s="30">
        <f>IFERROR(D9/$B54,0)</f>
        <v>7.2727287272730192E-8</v>
      </c>
      <c r="E54" s="30">
        <f>IFERROR(E9/$B54,0)</f>
        <v>9.0250338939604991E-5</v>
      </c>
      <c r="F54" s="30">
        <f>IFERROR(F9/$B54,0)</f>
        <v>2.600218650537089E-5</v>
      </c>
      <c r="G54" s="30">
        <f t="shared" si="22"/>
        <v>7.2466205474463068E-8</v>
      </c>
      <c r="H54" s="38">
        <f>IFERROR(up_RadSpec!$I$9*H9,".")*$B$54</f>
        <v>687.49986249999995</v>
      </c>
      <c r="I54" s="38">
        <f>IFERROR(up_RadSpec!$G$9*I9,".")*$B$54</f>
        <v>0.55401453986183602</v>
      </c>
      <c r="J54" s="38">
        <f>IFERROR(up_RadSpec!$F$9*J9,".")*$B$54</f>
        <v>1.9229152129061235</v>
      </c>
      <c r="K54" s="47">
        <f t="shared" si="58"/>
        <v>1</v>
      </c>
      <c r="L54" s="47">
        <f t="shared" si="58"/>
        <v>0.42536173463226024</v>
      </c>
      <c r="M54" s="47">
        <f t="shared" si="58"/>
        <v>0.85381980601553686</v>
      </c>
      <c r="N54" s="47">
        <f t="shared" si="59"/>
        <v>1</v>
      </c>
      <c r="O54" s="30">
        <f t="shared" ref="O54:S54" si="73">IFERROR(O9/$B54,0)</f>
        <v>2.600218650537089E-5</v>
      </c>
      <c r="P54" s="30">
        <f t="shared" si="73"/>
        <v>5.3256828833183977E-5</v>
      </c>
      <c r="Q54" s="30">
        <f t="shared" si="73"/>
        <v>3.7472546918109186E-5</v>
      </c>
      <c r="R54" s="30">
        <f t="shared" si="73"/>
        <v>3.0889262376199585E-5</v>
      </c>
      <c r="S54" s="30">
        <f t="shared" si="73"/>
        <v>9.4332728410522875E-5</v>
      </c>
      <c r="T54" s="38">
        <f>IFERROR(up_RadSpec!$F$9*T9,".")*$B$54</f>
        <v>1.9229152129061235</v>
      </c>
      <c r="U54" s="38">
        <f>IFERROR(up_RadSpec!$M$9*U9,".")*$B$54</f>
        <v>0.93884673750693426</v>
      </c>
      <c r="V54" s="38">
        <f>IFERROR(up_RadSpec!$N$9*V9,".")*$B$54</f>
        <v>1.3343101580276284</v>
      </c>
      <c r="W54" s="38">
        <f>IFERROR(up_RadSpec!$O$9*W9,".")*$B$54</f>
        <v>1.6186854639340753</v>
      </c>
      <c r="X54" s="38">
        <f>IFERROR(up_RadSpec!$K$9*X9,".")*$B$54</f>
        <v>0.53003873462036399</v>
      </c>
      <c r="Y54" s="47">
        <f t="shared" si="61"/>
        <v>0.85381980601553686</v>
      </c>
      <c r="Z54" s="47">
        <f t="shared" si="61"/>
        <v>0.60892140834000386</v>
      </c>
      <c r="AA54" s="47">
        <f t="shared" si="61"/>
        <v>0.73666022435865575</v>
      </c>
      <c r="AB54" s="47">
        <f t="shared" si="61"/>
        <v>0.80184098487911615</v>
      </c>
      <c r="AC54" s="47">
        <f t="shared" si="61"/>
        <v>0.41141782927013248</v>
      </c>
      <c r="AD54" s="30">
        <f t="shared" ref="AD54:AF54" si="74">IFERROR(AD9/$B54,0)</f>
        <v>2.9090914909092077E-10</v>
      </c>
      <c r="AE54" s="30">
        <f t="shared" si="74"/>
        <v>6.3709103650911641E-6</v>
      </c>
      <c r="AF54" s="30">
        <f t="shared" si="74"/>
        <v>2.908958661746571E-10</v>
      </c>
      <c r="AG54" s="38">
        <f>IFERROR(up_RadSpec!$G$9*AG9,".")*$B$54</f>
        <v>171874.96562500001</v>
      </c>
      <c r="AH54" s="38">
        <f>IFERROR(up_RadSpec!$J$9*AH9,".")*$B$54</f>
        <v>7.8481719463470325</v>
      </c>
      <c r="AI54" s="47">
        <f t="shared" si="63"/>
        <v>1</v>
      </c>
      <c r="AJ54" s="47">
        <f t="shared" si="63"/>
        <v>0.99960953489260818</v>
      </c>
      <c r="AK54" s="47">
        <f t="shared" si="64"/>
        <v>1</v>
      </c>
    </row>
    <row r="55" spans="1:37" x14ac:dyDescent="0.25">
      <c r="A55" s="29" t="s">
        <v>311</v>
      </c>
      <c r="B55" s="24">
        <v>1.9999999999999999E-7</v>
      </c>
      <c r="C55" s="109"/>
      <c r="D55" s="30">
        <f>IFERROR(D24/$B55,0)</f>
        <v>0.3636363636363637</v>
      </c>
      <c r="E55" s="30">
        <f>IFERROR(E24/$B55,0)</f>
        <v>451.25160444768602</v>
      </c>
      <c r="F55" s="30">
        <f>IFERROR(F24/$B55,0)</f>
        <v>229.43681137790276</v>
      </c>
      <c r="G55" s="30">
        <f t="shared" si="22"/>
        <v>0.36276907418324134</v>
      </c>
      <c r="H55" s="38">
        <f>IFERROR(up_RadSpec!$I$24*H24,".")*$B$55</f>
        <v>1.3749999999999998E-4</v>
      </c>
      <c r="I55" s="38">
        <f>IFERROR(up_RadSpec!$G$24*I24,".")*$B$55</f>
        <v>1.1080293013295323E-7</v>
      </c>
      <c r="J55" s="38">
        <f>IFERROR(up_RadSpec!$F$24*J24,".")*$B$55</f>
        <v>2.1792492538455646E-7</v>
      </c>
      <c r="K55" s="47">
        <f t="shared" si="58"/>
        <v>1.3749999999999998E-4</v>
      </c>
      <c r="L55" s="47">
        <f t="shared" si="58"/>
        <v>1.1080293013295323E-7</v>
      </c>
      <c r="M55" s="47">
        <f t="shared" si="58"/>
        <v>2.1792492538455646E-7</v>
      </c>
      <c r="N55" s="47">
        <f t="shared" si="59"/>
        <v>1.3782872785551747E-4</v>
      </c>
      <c r="O55" s="30">
        <f t="shared" ref="O55:S55" si="75">IFERROR(O24/$B55,0)</f>
        <v>229.43681137790276</v>
      </c>
      <c r="P55" s="30">
        <f t="shared" si="75"/>
        <v>415.97237211310181</v>
      </c>
      <c r="Q55" s="30">
        <f t="shared" si="75"/>
        <v>293.70337401551672</v>
      </c>
      <c r="R55" s="30">
        <f t="shared" si="75"/>
        <v>245.26136013662966</v>
      </c>
      <c r="S55" s="30">
        <f t="shared" si="75"/>
        <v>691.34865134865106</v>
      </c>
      <c r="T55" s="38">
        <f>IFERROR(up_RadSpec!$F$24*T24,".")*$B$55</f>
        <v>2.1792492538455646E-7</v>
      </c>
      <c r="U55" s="38">
        <f>IFERROR(up_RadSpec!$M$24*U24,".")*$B$55</f>
        <v>1.2020029057700292E-7</v>
      </c>
      <c r="V55" s="38">
        <f>IFERROR(up_RadSpec!$N$24*V24,".")*$B$55</f>
        <v>1.7023978756661627E-7</v>
      </c>
      <c r="W55" s="38">
        <f>IFERROR(up_RadSpec!$O$24*W24,".")*$B$55</f>
        <v>2.0386415525114157E-7</v>
      </c>
      <c r="X55" s="38">
        <f>IFERROR(up_RadSpec!$K$24*X24,".")*$B$55</f>
        <v>7.2322409109300078E-8</v>
      </c>
      <c r="Y55" s="47">
        <f t="shared" si="61"/>
        <v>2.1792492538455646E-7</v>
      </c>
      <c r="Z55" s="47">
        <f t="shared" si="61"/>
        <v>1.2020029057700292E-7</v>
      </c>
      <c r="AA55" s="47">
        <f t="shared" si="61"/>
        <v>1.7023978756661627E-7</v>
      </c>
      <c r="AB55" s="47">
        <f t="shared" si="61"/>
        <v>2.0386415525114157E-7</v>
      </c>
      <c r="AC55" s="47">
        <f t="shared" si="61"/>
        <v>7.2322409109300078E-8</v>
      </c>
      <c r="AD55" s="30">
        <f t="shared" ref="AD55:AF55" si="76">IFERROR(AD24/$B55,0)</f>
        <v>1.4545454545454547E-3</v>
      </c>
      <c r="AE55" s="30">
        <f t="shared" si="76"/>
        <v>31.854545454545455</v>
      </c>
      <c r="AF55" s="30">
        <f t="shared" si="76"/>
        <v>1.4544790399774194E-3</v>
      </c>
      <c r="AG55" s="38">
        <f>IFERROR(up_RadSpec!$G$24*AG24,".")*$B$55</f>
        <v>3.4374999999999996E-2</v>
      </c>
      <c r="AH55" s="38">
        <f>IFERROR(up_RadSpec!$J$24*AH24,".")*$B$55</f>
        <v>1.5696347031963471E-6</v>
      </c>
      <c r="AI55" s="47">
        <f t="shared" si="63"/>
        <v>3.379089172316796E-2</v>
      </c>
      <c r="AJ55" s="47">
        <f t="shared" si="63"/>
        <v>1.5696347031963471E-6</v>
      </c>
      <c r="AK55" s="47">
        <f t="shared" si="64"/>
        <v>3.3792408317324552E-2</v>
      </c>
    </row>
    <row r="56" spans="1:37" x14ac:dyDescent="0.25">
      <c r="A56" s="29" t="s">
        <v>312</v>
      </c>
      <c r="B56" s="24">
        <v>0.99979000004200003</v>
      </c>
      <c r="C56" s="109"/>
      <c r="D56" s="30">
        <f>IFERROR(D20/$B56,0)</f>
        <v>7.2742548659436027E-8</v>
      </c>
      <c r="E56" s="30">
        <f>IFERROR(E20/$B56,0)</f>
        <v>9.0269277434007028E-5</v>
      </c>
      <c r="F56" s="30">
        <f>IFERROR(F20/$B56,0)</f>
        <v>3.5946960422736814E-5</v>
      </c>
      <c r="G56" s="30">
        <f t="shared" si="22"/>
        <v>7.2537308170963332E-8</v>
      </c>
      <c r="H56" s="38">
        <f>IFERROR(up_RadSpec!$I$20*H20,".")*$B$56</f>
        <v>687.35562502887501</v>
      </c>
      <c r="I56" s="38">
        <f>IFERROR(up_RadSpec!$G$20*I20,".")*$B$56</f>
        <v>0.55389830761139525</v>
      </c>
      <c r="J56" s="38">
        <f>IFERROR(up_RadSpec!$F$20*J20,".")*$B$56</f>
        <v>1.3909381881527458</v>
      </c>
      <c r="K56" s="47">
        <f t="shared" si="58"/>
        <v>1</v>
      </c>
      <c r="L56" s="47">
        <f t="shared" si="58"/>
        <v>0.42529493925167361</v>
      </c>
      <c r="M56" s="47">
        <f t="shared" si="58"/>
        <v>0.75115826528488228</v>
      </c>
      <c r="N56" s="47">
        <f t="shared" si="59"/>
        <v>1</v>
      </c>
      <c r="O56" s="30">
        <f t="shared" ref="O56:S56" si="77">IFERROR(O20/$B56,0)</f>
        <v>3.5946960422736814E-5</v>
      </c>
      <c r="P56" s="30">
        <f t="shared" si="77"/>
        <v>7.0890810480460354E-5</v>
      </c>
      <c r="Q56" s="30">
        <f t="shared" si="77"/>
        <v>4.9600825761736339E-5</v>
      </c>
      <c r="R56" s="30">
        <f t="shared" si="77"/>
        <v>4.1648674918735949E-5</v>
      </c>
      <c r="S56" s="30">
        <f t="shared" si="77"/>
        <v>1.2079522776261757E-4</v>
      </c>
      <c r="T56" s="38">
        <f>IFERROR(up_RadSpec!$F$20*T20,".")*$B$56</f>
        <v>1.3909381881527458</v>
      </c>
      <c r="U56" s="38">
        <f>IFERROR(up_RadSpec!$M$20*U20,".")*$B$56</f>
        <v>0.7053100347016279</v>
      </c>
      <c r="V56" s="38">
        <f>IFERROR(up_RadSpec!$N$20*V20,".")*$B$56</f>
        <v>1.008047733724861</v>
      </c>
      <c r="W56" s="38">
        <f>IFERROR(up_RadSpec!$O$20*W20,".")*$B$56</f>
        <v>1.2005183861805691</v>
      </c>
      <c r="X56" s="38">
        <f>IFERROR(up_RadSpec!$K$20*X20,".")*$B$56</f>
        <v>0.41392363693587469</v>
      </c>
      <c r="Y56" s="47">
        <f t="shared" si="61"/>
        <v>0.75115826528488228</v>
      </c>
      <c r="Z56" s="47">
        <f t="shared" si="61"/>
        <v>0.50604459280347092</v>
      </c>
      <c r="AA56" s="47">
        <f t="shared" si="61"/>
        <v>0.63506927346415554</v>
      </c>
      <c r="AB56" s="47">
        <f t="shared" si="61"/>
        <v>0.69896188254282088</v>
      </c>
      <c r="AC56" s="47">
        <f t="shared" si="61"/>
        <v>0.33894857074875684</v>
      </c>
      <c r="AD56" s="30">
        <f t="shared" ref="AD56:AF56" si="78">IFERROR(AD20/$B56,0)</f>
        <v>2.9097019463774413E-10</v>
      </c>
      <c r="AE56" s="30">
        <f t="shared" si="78"/>
        <v>6.372247262566595E-6</v>
      </c>
      <c r="AF56" s="30">
        <f t="shared" si="78"/>
        <v>2.9095690893413982E-10</v>
      </c>
      <c r="AG56" s="38">
        <f>IFERROR(up_RadSpec!$G$20*AG20,".")*$B$56</f>
        <v>171838.90625721877</v>
      </c>
      <c r="AH56" s="38">
        <f>IFERROR(up_RadSpec!$J$20*AH20,".")*$B$56</f>
        <v>7.8465253998730029</v>
      </c>
      <c r="AI56" s="47">
        <f t="shared" si="63"/>
        <v>1</v>
      </c>
      <c r="AJ56" s="47">
        <f t="shared" si="63"/>
        <v>0.99960889144407383</v>
      </c>
      <c r="AK56" s="47">
        <f t="shared" si="64"/>
        <v>1</v>
      </c>
    </row>
    <row r="57" spans="1:37" x14ac:dyDescent="0.25">
      <c r="A57" s="29" t="s">
        <v>313</v>
      </c>
      <c r="B57" s="24">
        <v>2.0999995799999999E-4</v>
      </c>
      <c r="C57" s="109"/>
      <c r="D57" s="30">
        <f>IFERROR(D29/$B57,0)</f>
        <v>3.463204155844295E-4</v>
      </c>
      <c r="E57" s="30">
        <f>IFERROR(E29/$B57,0)</f>
        <v>0.42976351876002378</v>
      </c>
      <c r="F57" s="30">
        <f>IFERROR(F29/$B57,0)</f>
        <v>0.13469593212689498</v>
      </c>
      <c r="G57" s="30">
        <f t="shared" si="22"/>
        <v>3.4515483908484449E-4</v>
      </c>
      <c r="H57" s="38">
        <f>IFERROR(up_RadSpec!$I$29*H29,".")*$B$57</f>
        <v>0.144374971125</v>
      </c>
      <c r="I57" s="38">
        <f>IFERROR(up_RadSpec!$G$29*I29,".")*$B$57</f>
        <v>1.1634305337098556E-4</v>
      </c>
      <c r="J57" s="38">
        <f>IFERROR(up_RadSpec!$F$29*J29,".")*$B$57</f>
        <v>3.7120645895152773E-4</v>
      </c>
      <c r="K57" s="47">
        <f t="shared" si="58"/>
        <v>0.13443687397805959</v>
      </c>
      <c r="L57" s="47">
        <f t="shared" si="58"/>
        <v>1.1634305337098556E-4</v>
      </c>
      <c r="M57" s="47">
        <f t="shared" si="58"/>
        <v>3.7120645895152773E-4</v>
      </c>
      <c r="N57" s="47">
        <f t="shared" si="59"/>
        <v>0.13485877600061602</v>
      </c>
      <c r="O57" s="30">
        <f t="shared" ref="O57:S57" si="79">IFERROR(O29/$B57,0)</f>
        <v>0.13469593212689498</v>
      </c>
      <c r="P57" s="30">
        <f t="shared" si="79"/>
        <v>0.26878109727410504</v>
      </c>
      <c r="Q57" s="30">
        <f t="shared" si="79"/>
        <v>0.19147851056235177</v>
      </c>
      <c r="R57" s="30">
        <f t="shared" si="79"/>
        <v>0.16242320930781862</v>
      </c>
      <c r="S57" s="30">
        <f t="shared" si="79"/>
        <v>0.48264472462811853</v>
      </c>
      <c r="T57" s="38">
        <f>IFERROR(up_RadSpec!$F$29*T29,".")*$B$57</f>
        <v>3.7120645895152773E-4</v>
      </c>
      <c r="U57" s="38">
        <f>IFERROR(up_RadSpec!$M$29*U29,".")*$B$57</f>
        <v>1.8602498653024559E-4</v>
      </c>
      <c r="V57" s="38">
        <f>IFERROR(up_RadSpec!$N$29*V29,".")*$B$57</f>
        <v>2.6112590834948213E-4</v>
      </c>
      <c r="W57" s="38">
        <f>IFERROR(up_RadSpec!$O$29*W29,".")*$B$57</f>
        <v>3.0783777892999157E-4</v>
      </c>
      <c r="X57" s="38">
        <f>IFERROR(up_RadSpec!$K$29*X29,".")*$B$57</f>
        <v>1.0359586969178082E-4</v>
      </c>
      <c r="Y57" s="47">
        <f t="shared" si="61"/>
        <v>3.7120645895152773E-4</v>
      </c>
      <c r="Z57" s="47">
        <f t="shared" si="61"/>
        <v>1.8602498653024559E-4</v>
      </c>
      <c r="AA57" s="47">
        <f t="shared" si="61"/>
        <v>2.6112590834948213E-4</v>
      </c>
      <c r="AB57" s="47">
        <f t="shared" si="61"/>
        <v>3.0783777892999157E-4</v>
      </c>
      <c r="AC57" s="47">
        <f t="shared" si="61"/>
        <v>1.0359586969178082E-4</v>
      </c>
      <c r="AD57" s="30">
        <f t="shared" ref="AD57:AF57" si="80">IFERROR(AD29/$B57,0)</f>
        <v>1.385281662337718E-6</v>
      </c>
      <c r="AE57" s="30">
        <f t="shared" si="80"/>
        <v>3.0337668405196021E-2</v>
      </c>
      <c r="AF57" s="30">
        <f t="shared" si="80"/>
        <v>1.3852184103555101E-6</v>
      </c>
      <c r="AG57" s="38">
        <f>IFERROR(up_RadSpec!$G$29*AG29,".")*$B$57</f>
        <v>36.09374278125</v>
      </c>
      <c r="AH57" s="38">
        <f>IFERROR(up_RadSpec!$J$29*AH29,".")*$B$57</f>
        <v>1.6481161087328767E-3</v>
      </c>
      <c r="AI57" s="47">
        <f t="shared" si="63"/>
        <v>0.99999999999999978</v>
      </c>
      <c r="AJ57" s="47">
        <f t="shared" si="63"/>
        <v>1.6481161087328767E-3</v>
      </c>
      <c r="AK57" s="47">
        <f t="shared" si="64"/>
        <v>0.99999999999999978</v>
      </c>
    </row>
    <row r="58" spans="1:37" x14ac:dyDescent="0.25">
      <c r="A58" s="29" t="s">
        <v>314</v>
      </c>
      <c r="B58" s="24">
        <v>1</v>
      </c>
      <c r="C58" s="109"/>
      <c r="D58" s="30">
        <f>IFERROR(D16/$B58,0)</f>
        <v>7.272727272727274E-8</v>
      </c>
      <c r="E58" s="30">
        <f>IFERROR(E16/$B58,0)</f>
        <v>9.0250320889537203E-5</v>
      </c>
      <c r="F58" s="30">
        <f>IFERROR(F16/$B58,0)</f>
        <v>0.76494620302510574</v>
      </c>
      <c r="G58" s="30">
        <f t="shared" si="22"/>
        <v>7.26687065047692E-8</v>
      </c>
      <c r="H58" s="38">
        <f>IFERROR(up_RadSpec!$I$16*H16,".")*$B$58</f>
        <v>687.5</v>
      </c>
      <c r="I58" s="38">
        <f>IFERROR(up_RadSpec!$G$16*I16,".")*$B$58</f>
        <v>0.55401465066476618</v>
      </c>
      <c r="J58" s="38">
        <f>IFERROR(up_RadSpec!$F$16*J16,".")*$B$58</f>
        <v>6.5364073711676431E-5</v>
      </c>
      <c r="K58" s="47">
        <f t="shared" si="58"/>
        <v>1</v>
      </c>
      <c r="L58" s="47">
        <f t="shared" si="58"/>
        <v>0.42536179830386023</v>
      </c>
      <c r="M58" s="47">
        <f t="shared" si="58"/>
        <v>6.5364073711676431E-5</v>
      </c>
      <c r="N58" s="47">
        <f t="shared" si="59"/>
        <v>1</v>
      </c>
      <c r="O58" s="30">
        <f t="shared" ref="O58:S58" si="81">IFERROR(O16/$B58,0)</f>
        <v>0.76494620302510574</v>
      </c>
      <c r="P58" s="30">
        <f t="shared" si="81"/>
        <v>1.3623429416112349</v>
      </c>
      <c r="Q58" s="30">
        <f t="shared" si="81"/>
        <v>0.81841380561977772</v>
      </c>
      <c r="R58" s="30">
        <f t="shared" si="81"/>
        <v>0.82264249380461774</v>
      </c>
      <c r="S58" s="30">
        <f t="shared" si="81"/>
        <v>31.854545454545459</v>
      </c>
      <c r="T58" s="38">
        <f>IFERROR(up_RadSpec!$F$16*T16,".")*$B$58</f>
        <v>6.5364073711676431E-5</v>
      </c>
      <c r="U58" s="38">
        <f>IFERROR(up_RadSpec!$M$16*U16,".")*$B$58</f>
        <v>3.6701478367014769E-5</v>
      </c>
      <c r="V58" s="38">
        <f>IFERROR(up_RadSpec!$N$16*V16,".")*$B$58</f>
        <v>6.1093788565963199E-5</v>
      </c>
      <c r="W58" s="38">
        <f>IFERROR(up_RadSpec!$O$16*W16,".")*$B$58</f>
        <v>6.077974378488074E-5</v>
      </c>
      <c r="X58" s="38">
        <f>IFERROR(up_RadSpec!$K$16*X16,".")*$B$58</f>
        <v>1.5696347031963469E-6</v>
      </c>
      <c r="Y58" s="47">
        <f t="shared" si="61"/>
        <v>6.5364073711676431E-5</v>
      </c>
      <c r="Z58" s="47">
        <f t="shared" si="61"/>
        <v>3.6701478367014769E-5</v>
      </c>
      <c r="AA58" s="47">
        <f t="shared" si="61"/>
        <v>6.1093788565963199E-5</v>
      </c>
      <c r="AB58" s="47">
        <f t="shared" si="61"/>
        <v>6.077974378488074E-5</v>
      </c>
      <c r="AC58" s="47">
        <f t="shared" si="61"/>
        <v>1.5696347031963469E-6</v>
      </c>
      <c r="AD58" s="30">
        <f t="shared" ref="AD58:AF58" si="82">IFERROR(AD16/$B58,0)</f>
        <v>2.9090909090909094E-10</v>
      </c>
      <c r="AE58" s="30">
        <f t="shared" si="82"/>
        <v>6.3709090909090908E-6</v>
      </c>
      <c r="AF58" s="30">
        <f t="shared" si="82"/>
        <v>2.9089580799548386E-10</v>
      </c>
      <c r="AG58" s="38">
        <f>IFERROR(up_RadSpec!$G$16*AG16,".")*$B$58</f>
        <v>171875</v>
      </c>
      <c r="AH58" s="38">
        <f>IFERROR(up_RadSpec!$J$16*AH16,".")*$B$58</f>
        <v>7.8481735159817356</v>
      </c>
      <c r="AI58" s="47">
        <f t="shared" si="63"/>
        <v>1</v>
      </c>
      <c r="AJ58" s="47">
        <f t="shared" si="63"/>
        <v>0.99960953550549536</v>
      </c>
      <c r="AK58" s="47">
        <f t="shared" si="64"/>
        <v>1</v>
      </c>
    </row>
    <row r="59" spans="1:37" x14ac:dyDescent="0.25">
      <c r="A59" s="29" t="s">
        <v>315</v>
      </c>
      <c r="B59" s="24">
        <v>1</v>
      </c>
      <c r="C59" s="109"/>
      <c r="D59" s="30">
        <f>IFERROR(D7/$B59,0)</f>
        <v>7.272727272727274E-8</v>
      </c>
      <c r="E59" s="30">
        <f>IFERROR(E7/$B59,0)</f>
        <v>9.0250320889537203E-5</v>
      </c>
      <c r="F59" s="30">
        <f>IFERROR(F7/$B59,0)</f>
        <v>9.1843397478433964E-5</v>
      </c>
      <c r="G59" s="30">
        <f t="shared" si="22"/>
        <v>7.2611261624974268E-8</v>
      </c>
      <c r="H59" s="38">
        <f>IFERROR(up_RadSpec!$I$7*H7,".")*$B$59</f>
        <v>687.5</v>
      </c>
      <c r="I59" s="38">
        <f>IFERROR(up_RadSpec!$G$7*I7,".")*$B$59</f>
        <v>0.55401465066476618</v>
      </c>
      <c r="J59" s="38">
        <f>IFERROR(up_RadSpec!$F$7*J7,".")*$B$59</f>
        <v>0.54440494769088521</v>
      </c>
      <c r="K59" s="47">
        <f t="shared" si="58"/>
        <v>1</v>
      </c>
      <c r="L59" s="47">
        <f t="shared" si="58"/>
        <v>0.42536179830386023</v>
      </c>
      <c r="M59" s="47">
        <f t="shared" si="58"/>
        <v>0.41981307779039945</v>
      </c>
      <c r="N59" s="47">
        <f t="shared" si="59"/>
        <v>1</v>
      </c>
      <c r="O59" s="30">
        <f t="shared" ref="O59:S59" si="83">IFERROR(O7/$B59,0)</f>
        <v>9.1843397478433964E-5</v>
      </c>
      <c r="P59" s="30">
        <f t="shared" si="83"/>
        <v>1.4611153552330033E-4</v>
      </c>
      <c r="Q59" s="30">
        <f t="shared" si="83"/>
        <v>1.0704545454545457E-4</v>
      </c>
      <c r="R59" s="30">
        <f t="shared" si="83"/>
        <v>9.8471359678034887E-5</v>
      </c>
      <c r="S59" s="30">
        <f t="shared" si="83"/>
        <v>2.500423640530592E-4</v>
      </c>
      <c r="T59" s="38">
        <f>IFERROR(up_RadSpec!$F$7*T7,".")*$B$59</f>
        <v>0.54440494769088521</v>
      </c>
      <c r="U59" s="38">
        <f>IFERROR(up_RadSpec!$M$7*U7,".")*$B$59</f>
        <v>0.34220432918540189</v>
      </c>
      <c r="V59" s="38">
        <f>IFERROR(up_RadSpec!$N$7*V7,".")*$B$59</f>
        <v>0.46709129511677278</v>
      </c>
      <c r="W59" s="38">
        <f>IFERROR(up_RadSpec!$O$7*W7,".")*$B$59</f>
        <v>0.50776185241558169</v>
      </c>
      <c r="X59" s="38">
        <f>IFERROR(up_RadSpec!$K$7*X7,".")*$B$59</f>
        <v>0.19996611449966123</v>
      </c>
      <c r="Y59" s="47">
        <f t="shared" si="61"/>
        <v>0.41981307779039945</v>
      </c>
      <c r="Z59" s="47">
        <f t="shared" si="61"/>
        <v>0.28979692533318602</v>
      </c>
      <c r="AA59" s="47">
        <f t="shared" si="61"/>
        <v>0.3731771380662996</v>
      </c>
      <c r="AB59" s="47">
        <f t="shared" si="61"/>
        <v>0.39815891830321559</v>
      </c>
      <c r="AC59" s="47">
        <f t="shared" si="61"/>
        <v>0.18124150335075762</v>
      </c>
      <c r="AD59" s="30">
        <f t="shared" ref="AD59:AF59" si="84">IFERROR(AD7/$B59,0)</f>
        <v>2.9090909090909094E-10</v>
      </c>
      <c r="AE59" s="30">
        <f t="shared" si="84"/>
        <v>6.3709090909090908E-6</v>
      </c>
      <c r="AF59" s="30">
        <f t="shared" si="84"/>
        <v>2.9089580799548386E-10</v>
      </c>
      <c r="AG59" s="38">
        <f>IFERROR(up_RadSpec!$G$7*AG7,".")*$B$59</f>
        <v>171875</v>
      </c>
      <c r="AH59" s="38">
        <f>IFERROR(up_RadSpec!$J$7*AH7,".")*$B$59</f>
        <v>7.8481735159817356</v>
      </c>
      <c r="AI59" s="47">
        <f t="shared" si="63"/>
        <v>1</v>
      </c>
      <c r="AJ59" s="47">
        <f t="shared" si="63"/>
        <v>0.99960953550549536</v>
      </c>
      <c r="AK59" s="47">
        <f t="shared" si="64"/>
        <v>1</v>
      </c>
    </row>
    <row r="60" spans="1:37" x14ac:dyDescent="0.25">
      <c r="A60" s="29" t="s">
        <v>316</v>
      </c>
      <c r="B60" s="33">
        <v>1.9000000000000001E-8</v>
      </c>
      <c r="C60" s="109"/>
      <c r="D60" s="30">
        <f>IFERROR(D12/$B60,0)</f>
        <v>3.8277511961722492</v>
      </c>
      <c r="E60" s="30">
        <f>IFERROR(E12/$B60,0)</f>
        <v>4750.0168889230099</v>
      </c>
      <c r="F60" s="30">
        <f>IFERROR(F12/$B60,0)</f>
        <v>3751.6872799494449</v>
      </c>
      <c r="G60" s="30">
        <f t="shared" si="22"/>
        <v>3.8207740269233001</v>
      </c>
      <c r="H60" s="38">
        <f>IFERROR(up_RadSpec!$I$12*H12,".")*$B$60</f>
        <v>1.3062500000000001E-5</v>
      </c>
      <c r="I60" s="38">
        <f>IFERROR(up_RadSpec!$G$12*I12,".")*$B$60</f>
        <v>1.0526278362630558E-8</v>
      </c>
      <c r="J60" s="38">
        <f>IFERROR(up_RadSpec!$F$12*J12,".")*$B$60</f>
        <v>1.3327336813817216E-8</v>
      </c>
      <c r="K60" s="47">
        <f t="shared" si="58"/>
        <v>1.3062500000000001E-5</v>
      </c>
      <c r="L60" s="47">
        <f t="shared" si="58"/>
        <v>1.0526278362630558E-8</v>
      </c>
      <c r="M60" s="47">
        <f t="shared" si="58"/>
        <v>1.3327336813817216E-8</v>
      </c>
      <c r="N60" s="47">
        <f t="shared" si="59"/>
        <v>1.3086353615176449E-5</v>
      </c>
      <c r="O60" s="30">
        <f t="shared" ref="O60:S60" si="85">IFERROR(O12/$B60,0)</f>
        <v>3751.6872799494449</v>
      </c>
      <c r="P60" s="30">
        <f t="shared" si="85"/>
        <v>6730.7676010623618</v>
      </c>
      <c r="Q60" s="30">
        <f t="shared" si="85"/>
        <v>4880.3963634823604</v>
      </c>
      <c r="R60" s="30">
        <f t="shared" si="85"/>
        <v>4310.0706650788998</v>
      </c>
      <c r="S60" s="30">
        <f t="shared" si="85"/>
        <v>11618.982521238162</v>
      </c>
      <c r="T60" s="38">
        <f>IFERROR(up_RadSpec!$F$12*T12,".")*$B$60</f>
        <v>1.3327336813817216E-8</v>
      </c>
      <c r="U60" s="38">
        <f>IFERROR(up_RadSpec!$M$12*U12,".")*$B$60</f>
        <v>7.4285732272360999E-9</v>
      </c>
      <c r="V60" s="38">
        <f>IFERROR(up_RadSpec!$N$12*V12,".")*$B$60</f>
        <v>1.024506951405131E-8</v>
      </c>
      <c r="W60" s="38">
        <f>IFERROR(up_RadSpec!$O$12*W12,".")*$B$60</f>
        <v>1.1600737873072601E-8</v>
      </c>
      <c r="X60" s="38">
        <f>IFERROR(up_RadSpec!$K$12*X12,".")*$B$60</f>
        <v>4.3033027985545013E-9</v>
      </c>
      <c r="Y60" s="47">
        <f t="shared" si="61"/>
        <v>1.3327336813817216E-8</v>
      </c>
      <c r="Z60" s="47">
        <f t="shared" si="61"/>
        <v>7.4285732272360999E-9</v>
      </c>
      <c r="AA60" s="47">
        <f t="shared" si="61"/>
        <v>1.024506951405131E-8</v>
      </c>
      <c r="AB60" s="47">
        <f t="shared" si="61"/>
        <v>1.1600737873072601E-8</v>
      </c>
      <c r="AC60" s="47">
        <f t="shared" si="61"/>
        <v>4.3033027985545013E-9</v>
      </c>
      <c r="AD60" s="30">
        <f t="shared" ref="AD60:AF60" si="86">IFERROR(AD12/$B60,0)</f>
        <v>1.5311004784688996E-2</v>
      </c>
      <c r="AE60" s="30">
        <f t="shared" si="86"/>
        <v>335.31100478468898</v>
      </c>
      <c r="AF60" s="30">
        <f t="shared" si="86"/>
        <v>1.5310305683972833E-2</v>
      </c>
      <c r="AG60" s="38">
        <f>IFERROR(up_RadSpec!$G$12*AG12,".")*$B$60</f>
        <v>3.2656250000000003E-3</v>
      </c>
      <c r="AH60" s="38">
        <f>IFERROR(up_RadSpec!$J$12*AH12,".")*$B$60</f>
        <v>1.4911529680365299E-7</v>
      </c>
      <c r="AI60" s="47">
        <f t="shared" si="63"/>
        <v>3.2656250000000003E-3</v>
      </c>
      <c r="AJ60" s="47">
        <f t="shared" si="63"/>
        <v>1.4911529680365299E-7</v>
      </c>
      <c r="AK60" s="47">
        <f t="shared" si="64"/>
        <v>3.2657741152968042E-3</v>
      </c>
    </row>
    <row r="61" spans="1:37" x14ac:dyDescent="0.25">
      <c r="A61" s="29" t="s">
        <v>317</v>
      </c>
      <c r="B61" s="24">
        <v>1</v>
      </c>
      <c r="C61" s="109"/>
      <c r="D61" s="30">
        <f>IFERROR(D18/$B61,0)</f>
        <v>7.272727272727274E-8</v>
      </c>
      <c r="E61" s="30">
        <f>IFERROR(E18/$B61,0)</f>
        <v>9.0250320889537203E-5</v>
      </c>
      <c r="F61" s="30">
        <f>IFERROR(F18/$B61,0)</f>
        <v>3.5819104981705617E-5</v>
      </c>
      <c r="G61" s="30">
        <f t="shared" si="22"/>
        <v>7.2521583819291654E-8</v>
      </c>
      <c r="H61" s="38">
        <f>IFERROR(up_RadSpec!$I$18*H18,".")*$B$61</f>
        <v>687.5</v>
      </c>
      <c r="I61" s="38">
        <f>IFERROR(up_RadSpec!$G$18*I18,".")*$B$61</f>
        <v>0.55401465066476618</v>
      </c>
      <c r="J61" s="38">
        <f>IFERROR(up_RadSpec!$F$18*J18,".")*$B$61</f>
        <v>1.3959031088447689</v>
      </c>
      <c r="K61" s="47">
        <f t="shared" si="58"/>
        <v>1</v>
      </c>
      <c r="L61" s="47">
        <f t="shared" si="58"/>
        <v>0.42536179830386023</v>
      </c>
      <c r="M61" s="47">
        <f t="shared" si="58"/>
        <v>0.75239068280335397</v>
      </c>
      <c r="N61" s="47">
        <f t="shared" si="59"/>
        <v>1</v>
      </c>
      <c r="O61" s="30">
        <f t="shared" ref="O61:S61" si="87">IFERROR(O18/$B61,0)</f>
        <v>3.5819104981705617E-5</v>
      </c>
      <c r="P61" s="30">
        <f t="shared" si="87"/>
        <v>7.0875611640484193E-5</v>
      </c>
      <c r="Q61" s="30">
        <f t="shared" si="87"/>
        <v>4.9633877043552499E-5</v>
      </c>
      <c r="R61" s="30">
        <f t="shared" si="87"/>
        <v>4.1122563526890526E-5</v>
      </c>
      <c r="S61" s="30">
        <f t="shared" si="87"/>
        <v>1.2047552447552447E-4</v>
      </c>
      <c r="T61" s="38">
        <f>IFERROR(up_RadSpec!$F$18*T18,".")*$B$61</f>
        <v>1.3959031088447689</v>
      </c>
      <c r="U61" s="38">
        <f>IFERROR(up_RadSpec!$M$18*U18,".")*$B$61</f>
        <v>0.70546128411031572</v>
      </c>
      <c r="V61" s="38">
        <f>IFERROR(up_RadSpec!$N$18*V18,".")*$B$61</f>
        <v>1.0073764730513848</v>
      </c>
      <c r="W61" s="38">
        <f>IFERROR(up_RadSpec!$O$18*W18,".")*$B$61</f>
        <v>1.2158775064522531</v>
      </c>
      <c r="X61" s="38">
        <f>IFERROR(up_RadSpec!$K$18*X18,".")*$B$61</f>
        <v>0.4150220571163224</v>
      </c>
      <c r="Y61" s="47">
        <f t="shared" si="61"/>
        <v>0.75239068280335397</v>
      </c>
      <c r="Z61" s="47">
        <f t="shared" si="61"/>
        <v>0.50611929761705565</v>
      </c>
      <c r="AA61" s="47">
        <f t="shared" si="61"/>
        <v>0.63482422758325874</v>
      </c>
      <c r="AB61" s="47">
        <f t="shared" si="61"/>
        <v>0.70355023645539005</v>
      </c>
      <c r="AC61" s="47">
        <f t="shared" si="61"/>
        <v>0.33967428433676894</v>
      </c>
      <c r="AD61" s="30">
        <f t="shared" ref="AD61:AF61" si="88">IFERROR(AD18/$B61,0)</f>
        <v>2.9090909090909094E-10</v>
      </c>
      <c r="AE61" s="30">
        <f t="shared" si="88"/>
        <v>6.3709090909090908E-6</v>
      </c>
      <c r="AF61" s="30">
        <f t="shared" si="88"/>
        <v>2.9089580799548386E-10</v>
      </c>
      <c r="AG61" s="38">
        <f>IFERROR(up_RadSpec!$G$18*AG18,".")*$B$61</f>
        <v>171875</v>
      </c>
      <c r="AH61" s="38">
        <f>IFERROR(up_RadSpec!$J$18*AH18,".")*$B$61</f>
        <v>7.8481735159817356</v>
      </c>
      <c r="AI61" s="47">
        <f t="shared" si="63"/>
        <v>1</v>
      </c>
      <c r="AJ61" s="47">
        <f t="shared" si="63"/>
        <v>0.99960953550549536</v>
      </c>
      <c r="AK61" s="47">
        <f t="shared" si="64"/>
        <v>1</v>
      </c>
    </row>
    <row r="62" spans="1:37" x14ac:dyDescent="0.25">
      <c r="A62" s="29" t="s">
        <v>318</v>
      </c>
      <c r="B62" s="24">
        <v>1.339E-6</v>
      </c>
      <c r="C62" s="109"/>
      <c r="D62" s="30">
        <f>IFERROR(D27/$B62,0)</f>
        <v>5.4314617421413545E-2</v>
      </c>
      <c r="E62" s="30">
        <f>IFERROR(E27/$B62,0)</f>
        <v>67.401285205031513</v>
      </c>
      <c r="F62" s="30">
        <f>IFERROR(F27/$B62,0)</f>
        <v>43.901003530817384</v>
      </c>
      <c r="G62" s="30">
        <f t="shared" ref="G62" si="89">IFERROR(SUM(D62:F62),0)</f>
        <v>111.35660335327032</v>
      </c>
      <c r="H62" s="38">
        <f>IFERROR(up_RadSpec!$I$27*H27,".")*$B$62</f>
        <v>9.2056250000000005E-4</v>
      </c>
      <c r="I62" s="38">
        <f>IFERROR(up_RadSpec!$G$27*I27,".")*$B$62</f>
        <v>7.4182561724012188E-7</v>
      </c>
      <c r="J62" s="38">
        <f>IFERROR(up_RadSpec!$F$27*J27,".")*$B$62</f>
        <v>1.13892612875925E-6</v>
      </c>
      <c r="K62" s="47">
        <f t="shared" si="58"/>
        <v>9.2056250000000005E-4</v>
      </c>
      <c r="L62" s="47">
        <f t="shared" si="58"/>
        <v>7.4182561724012188E-7</v>
      </c>
      <c r="M62" s="47">
        <f t="shared" si="58"/>
        <v>1.13892612875925E-6</v>
      </c>
      <c r="N62" s="47">
        <f t="shared" si="59"/>
        <v>9.2244325174599938E-4</v>
      </c>
      <c r="O62" s="30">
        <f t="shared" ref="O62:S62" si="90">IFERROR(O27/$B62,0)</f>
        <v>43.901003530817384</v>
      </c>
      <c r="P62" s="30">
        <f t="shared" si="90"/>
        <v>130.21786593580163</v>
      </c>
      <c r="Q62" s="30">
        <f t="shared" si="90"/>
        <v>79.833343734491137</v>
      </c>
      <c r="R62" s="30">
        <f t="shared" si="90"/>
        <v>58.075673411227257</v>
      </c>
      <c r="S62" s="30">
        <f t="shared" si="90"/>
        <v>407.31919794291832</v>
      </c>
      <c r="T62" s="38">
        <f>IFERROR(up_RadSpec!$F$27*T27,".")*$B$62</f>
        <v>1.13892612875925E-6</v>
      </c>
      <c r="U62" s="38">
        <f>IFERROR(up_RadSpec!$M$27*U27,".")*$B$62</f>
        <v>3.8397188926940628E-7</v>
      </c>
      <c r="V62" s="38">
        <f>IFERROR(up_RadSpec!$N$27*V27,".")*$B$62</f>
        <v>6.2630472007147106E-7</v>
      </c>
      <c r="W62" s="38">
        <f>IFERROR(up_RadSpec!$O$27*W27,".")*$B$62</f>
        <v>8.6094567764984291E-7</v>
      </c>
      <c r="X62" s="38">
        <f>IFERROR(up_RadSpec!$K$27*X27,".")*$B$62</f>
        <v>1.2275385067169607E-7</v>
      </c>
      <c r="Y62" s="47">
        <f t="shared" si="61"/>
        <v>1.13892612875925E-6</v>
      </c>
      <c r="Z62" s="47">
        <f t="shared" si="61"/>
        <v>3.8397188926940628E-7</v>
      </c>
      <c r="AA62" s="47">
        <f t="shared" si="61"/>
        <v>6.2630472007147106E-7</v>
      </c>
      <c r="AB62" s="47">
        <f t="shared" si="61"/>
        <v>8.6094567764984291E-7</v>
      </c>
      <c r="AC62" s="47">
        <f t="shared" si="61"/>
        <v>1.2275385067169607E-7</v>
      </c>
      <c r="AD62" s="30">
        <f t="shared" ref="AD62:AF62" si="91">IFERROR(AD27/$B62,0)</f>
        <v>2.1725846968565418E-4</v>
      </c>
      <c r="AE62" s="30">
        <f t="shared" si="91"/>
        <v>4.7579604861158256</v>
      </c>
      <c r="AF62" s="30">
        <f t="shared" si="91"/>
        <v>2.1724854966055553E-4</v>
      </c>
      <c r="AG62" s="38">
        <f>IFERROR(up_RadSpec!$G$27*AG27,".")*$B$62</f>
        <v>0.23014062500000002</v>
      </c>
      <c r="AH62" s="38">
        <f>IFERROR(up_RadSpec!$J$27*AH27,".")*$B$62</f>
        <v>1.0508704337899545E-5</v>
      </c>
      <c r="AI62" s="47">
        <f t="shared" si="63"/>
        <v>0.20557812092878014</v>
      </c>
      <c r="AJ62" s="47">
        <f t="shared" si="63"/>
        <v>1.0508704337899545E-5</v>
      </c>
      <c r="AK62" s="47">
        <f t="shared" si="64"/>
        <v>0.20558646922956181</v>
      </c>
    </row>
    <row r="63" spans="1:37" x14ac:dyDescent="0.25">
      <c r="A63" s="26" t="s">
        <v>35</v>
      </c>
      <c r="B63" s="26" t="s">
        <v>289</v>
      </c>
      <c r="C63" s="110"/>
      <c r="D63" s="27">
        <f>1/SUM(1/D64,1/D65,1/D66,1/D67,1/D68,1/D69,1/D70,1/D71,1/D72,1/D73,1/D74,1/D75,1/D76)</f>
        <v>9.0909075477275343E-9</v>
      </c>
      <c r="E63" s="27">
        <f t="shared" ref="E63:G63" si="92">1/SUM(1/E64,1/E65,1/E66,1/E67,1/E68,1/E69,1/E70,1/E71,1/E72,1/E73,1/E74,1/E75,1/E76)</f>
        <v>1.1281288196193478E-5</v>
      </c>
      <c r="F63" s="27">
        <f>1/SUM(1/F64,1/F66,1/F68,1/F69,1/F70,1/F71,1/F72,1/F73,1/F74,1/F75,1/F76)</f>
        <v>7.2020093032882853E-6</v>
      </c>
      <c r="G63" s="28">
        <f t="shared" si="92"/>
        <v>9.0721453235280756E-9</v>
      </c>
      <c r="H63" s="45"/>
      <c r="I63" s="45"/>
      <c r="J63" s="45"/>
      <c r="K63" s="46">
        <f>IFERROR(IF(SUM(H64:H76)&gt;0.01,1-EXP(-SUM(H64:H76)),SUM(H64:H76)),".")</f>
        <v>1</v>
      </c>
      <c r="L63" s="46">
        <f>IFERROR(IF(SUM(I64:I76)&gt;0.01,1-EXP(-SUM(I64:I76)),SUM(I64:I76)),".")</f>
        <v>0.98811071800817374</v>
      </c>
      <c r="M63" s="46">
        <f>IFERROR(IF(SUM(J64:J76)&gt;0.01,1-EXP(-SUM(J64:J76)),SUM(J64:J76)),".")</f>
        <v>0.99903415481416136</v>
      </c>
      <c r="N63" s="46">
        <f>IFERROR(IF(SUM(H64:J76)&gt;0.01,1-EXP(-SUM(H64:J76)),SUM(H64:J76)),".")</f>
        <v>1</v>
      </c>
      <c r="O63" s="27">
        <f t="shared" ref="O63:S63" si="93">1/SUM(1/O64,1/O66,1/O68,1/O69,1/O70,1/O71,1/O72,1/O73,1/O74,1/O75,1/O76)</f>
        <v>7.2020093032882853E-6</v>
      </c>
      <c r="P63" s="27">
        <f t="shared" si="93"/>
        <v>1.3719761599145533E-5</v>
      </c>
      <c r="Q63" s="27">
        <f t="shared" si="93"/>
        <v>9.7701532463028118E-6</v>
      </c>
      <c r="R63" s="27">
        <f t="shared" si="93"/>
        <v>8.3304156415765933E-6</v>
      </c>
      <c r="S63" s="27">
        <f t="shared" si="93"/>
        <v>2.4088991591820404E-5</v>
      </c>
      <c r="T63" s="45"/>
      <c r="U63" s="45"/>
      <c r="V63" s="45"/>
      <c r="W63" s="45"/>
      <c r="X63" s="45"/>
      <c r="Y63" s="46">
        <f>IFERROR(IF(SUM(T64:T76)&gt;0.01,1-EXP(-SUM(T64:T76)),SUM(T64:T76)),".")</f>
        <v>0.99903415481416136</v>
      </c>
      <c r="Z63" s="46">
        <f t="shared" ref="Z63:AC63" si="94">IFERROR(IF(SUM(U64:U76)&gt;0.01,1-EXP(-SUM(U64:U76)),SUM(U64:U76)),".")</f>
        <v>0.97386234264811056</v>
      </c>
      <c r="AA63" s="46">
        <f t="shared" si="94"/>
        <v>0.99400977913439714</v>
      </c>
      <c r="AB63" s="46">
        <f t="shared" si="94"/>
        <v>0.9975264513866956</v>
      </c>
      <c r="AC63" s="46">
        <f t="shared" si="94"/>
        <v>0.87452351481170032</v>
      </c>
      <c r="AD63" s="27">
        <f t="shared" ref="AD63:AF63" si="95">1/SUM(1/AD64,1/AD65,1/AD66,1/AD67,1/AD68,1/AD69,1/AD70,1/AD71,1/AD72,1/AD73,1/AD74,1/AD75,1/AD76)</f>
        <v>3.6363630190910144E-11</v>
      </c>
      <c r="AE63" s="27">
        <f t="shared" si="95"/>
        <v>7.9636350118093191E-7</v>
      </c>
      <c r="AF63" s="28">
        <f t="shared" si="95"/>
        <v>3.6361969826991108E-11</v>
      </c>
      <c r="AG63" s="45"/>
      <c r="AH63" s="45"/>
      <c r="AI63" s="46">
        <f>IFERROR(IF(SUM(AG64:AG76)&gt;0.01,1-EXP(-SUM(AG64:AG76)),SUM(AG64:AG76)),".")</f>
        <v>1</v>
      </c>
      <c r="AJ63" s="46">
        <f>IFERROR(IF(SUM(AH64:AH76)&gt;0.01,1-EXP(-SUM(AH64:AH76)),SUM(AH64:AH76)),".")</f>
        <v>1</v>
      </c>
      <c r="AK63" s="46">
        <f>IFERROR(IF(SUM(AG64:AH76)&gt;0.01,1-EXP(-SUM(AG64:AH76)),SUM(AG64:AH76)),".")</f>
        <v>1</v>
      </c>
    </row>
    <row r="64" spans="1:37" x14ac:dyDescent="0.25">
      <c r="A64" s="29" t="s">
        <v>306</v>
      </c>
      <c r="B64" s="34">
        <v>1</v>
      </c>
      <c r="C64" s="2"/>
      <c r="D64" s="30">
        <f>IFERROR(D25/$B50,0)</f>
        <v>7.272727272727274E-8</v>
      </c>
      <c r="E64" s="30">
        <f>IFERROR(E25/$B50,0)</f>
        <v>9.0250320889537203E-5</v>
      </c>
      <c r="F64" s="30">
        <f>IFERROR(F25/$B50,0)</f>
        <v>5.1171960569550945E-5</v>
      </c>
      <c r="G64" s="30">
        <f t="shared" ref="G64:G76" si="96">IF(AND(D64&lt;&gt;0,E64&lt;&gt;0,F64&lt;&gt;0),1/((1/D64)+(1/E64)+(1/F64)),IF(AND(D64&lt;&gt;0,E64&lt;&gt;0,F64=0), 1/((1/D64)+(1/E64)),IF(AND(D64&lt;&gt;0,E64=0,F64&lt;&gt;0),1/((1/D64)+(1/F64)),IF(AND(D64=0,E64&lt;&gt;0,F64&lt;&gt;0),1/((1/E64)+(1/F64)),IF(AND(D64&lt;&gt;0,E64=0,F64=0),1/((1/D64)),IF(AND(D64=0,E64&lt;&gt;0,F64=0),1/((1/E64)),IF(AND(D64=0,E64=0,F64&lt;&gt;0),1/((1/F64)),IF(AND(D64=0,E64=0,F64=0),0))))))))</f>
        <v>7.2565663742643228E-8</v>
      </c>
      <c r="H64" s="38">
        <f>IFERROR(up_RadSpec!$I$25*H25,".")*$B$64</f>
        <v>687.5</v>
      </c>
      <c r="I64" s="38">
        <f>IFERROR(up_RadSpec!$G$25*I25,".")*$B$64</f>
        <v>0.55401465066476618</v>
      </c>
      <c r="J64" s="38">
        <f>IFERROR(up_RadSpec!$F$25*J25,".")*$B$64</f>
        <v>0.97709760273972601</v>
      </c>
      <c r="K64" s="47">
        <f t="shared" ref="K64:M76" si="97">IFERROR(IF(H64&gt;0.01,1-EXP(-H64),H64),".")</f>
        <v>1</v>
      </c>
      <c r="L64" s="47">
        <f t="shared" si="97"/>
        <v>0.42536179830386023</v>
      </c>
      <c r="M64" s="47">
        <f t="shared" si="97"/>
        <v>0.62359801691963745</v>
      </c>
      <c r="N64" s="47">
        <f t="shared" ref="N64:N76" si="98">IFERROR(IF(SUM(H64:J64)&gt;0.01,1-EXP(-SUM(H64:J64)),SUM(H64:J64)),".")</f>
        <v>1</v>
      </c>
      <c r="O64" s="30">
        <f t="shared" ref="O64:S64" si="99">IFERROR(O25/$B50,0)</f>
        <v>5.1171960569550945E-5</v>
      </c>
      <c r="P64" s="30">
        <f t="shared" si="99"/>
        <v>9.1638362553616787E-5</v>
      </c>
      <c r="Q64" s="30">
        <f t="shared" si="99"/>
        <v>6.5732694272020137E-5</v>
      </c>
      <c r="R64" s="30">
        <f t="shared" si="99"/>
        <v>5.8697641341709148E-5</v>
      </c>
      <c r="S64" s="30">
        <f t="shared" si="99"/>
        <v>1.6429752066115703E-4</v>
      </c>
      <c r="T64" s="38">
        <f>IFERROR(up_RadSpec!$F$25*T25,".")*$B$64</f>
        <v>0.97709760273972601</v>
      </c>
      <c r="U64" s="38">
        <f>IFERROR(up_RadSpec!$M$25*U25,".")*$B$64</f>
        <v>0.54562301864293428</v>
      </c>
      <c r="V64" s="38">
        <f>IFERROR(up_RadSpec!$N$25*V25,".")*$B$64</f>
        <v>0.76065648234478467</v>
      </c>
      <c r="W64" s="38">
        <f>IFERROR(up_RadSpec!$O$25*W25,".")*$B$64</f>
        <v>0.85182298397518741</v>
      </c>
      <c r="X64" s="38">
        <f>IFERROR(up_RadSpec!$K$25*X25,".")*$B$64</f>
        <v>0.30432595573440646</v>
      </c>
      <c r="Y64" s="47">
        <f t="shared" ref="Y64:AC76" si="100">IFERROR(IF(T64&gt;0.01,1-EXP(-T64),T64),".")</f>
        <v>0.62359801691963745</v>
      </c>
      <c r="Z64" s="47">
        <f t="shared" si="100"/>
        <v>0.42051935639105265</v>
      </c>
      <c r="AA64" s="47">
        <f t="shared" si="100"/>
        <v>0.53264048698983768</v>
      </c>
      <c r="AB64" s="47">
        <f t="shared" si="100"/>
        <v>0.57336352884660768</v>
      </c>
      <c r="AC64" s="47">
        <f t="shared" si="100"/>
        <v>0.26237960433647745</v>
      </c>
      <c r="AD64" s="30">
        <f t="shared" ref="AD64:AF64" si="101">IFERROR(AD25/$B50,0)</f>
        <v>2.9090909090909094E-10</v>
      </c>
      <c r="AE64" s="30">
        <f t="shared" si="101"/>
        <v>6.3709090909090908E-6</v>
      </c>
      <c r="AF64" s="30">
        <f t="shared" si="101"/>
        <v>2.9089580799548386E-10</v>
      </c>
      <c r="AG64" s="38">
        <f>IFERROR(up_RadSpec!$G$25*AG25,".")*$B$64</f>
        <v>171875</v>
      </c>
      <c r="AH64" s="38">
        <f>IFERROR(up_RadSpec!$J$25*AH25,".")*$B$64</f>
        <v>7.8481735159817356</v>
      </c>
      <c r="AI64" s="47">
        <f t="shared" ref="AI64:AJ76" si="102">IFERROR(IF(AG64&gt;0.01,1-EXP(-AG64),AG64),".")</f>
        <v>1</v>
      </c>
      <c r="AJ64" s="47">
        <f t="shared" si="102"/>
        <v>0.99960953550549536</v>
      </c>
      <c r="AK64" s="47">
        <f t="shared" ref="AK64:AK76" si="103">IFERROR(IF(SUM(AG64:AH64)&gt;0.01,1-EXP(-SUM(AG64:AH64)),SUM(AG64:AH64)),".")</f>
        <v>1</v>
      </c>
    </row>
    <row r="65" spans="1:37" x14ac:dyDescent="0.25">
      <c r="A65" s="29" t="s">
        <v>307</v>
      </c>
      <c r="B65" s="34">
        <v>1</v>
      </c>
      <c r="C65" s="2"/>
      <c r="D65" s="30">
        <f>IFERROR(D21/$B51,0)</f>
        <v>7.272727272727274E-8</v>
      </c>
      <c r="E65" s="30">
        <f>IFERROR(E21/$B51,0)</f>
        <v>9.0250320889537203E-5</v>
      </c>
      <c r="F65" s="30">
        <f>IFERROR(F21/$B51,0)</f>
        <v>0</v>
      </c>
      <c r="G65" s="30">
        <f t="shared" si="96"/>
        <v>7.26687134081846E-8</v>
      </c>
      <c r="H65" s="38">
        <f>IFERROR(up_RadSpec!$I$21*H21,".")*$B$65</f>
        <v>687.5</v>
      </c>
      <c r="I65" s="38">
        <f>IFERROR(up_RadSpec!$G$21*I21,".")*$B$65</f>
        <v>0.55401465066476618</v>
      </c>
      <c r="J65" s="38">
        <f>IFERROR(up_RadSpec!$F$21*J21,".")*$B$65</f>
        <v>0</v>
      </c>
      <c r="K65" s="47">
        <f t="shared" si="97"/>
        <v>1</v>
      </c>
      <c r="L65" s="47">
        <f t="shared" si="97"/>
        <v>0.42536179830386023</v>
      </c>
      <c r="M65" s="47">
        <f t="shared" si="97"/>
        <v>0</v>
      </c>
      <c r="N65" s="47">
        <f t="shared" si="98"/>
        <v>1</v>
      </c>
      <c r="O65" s="30">
        <f t="shared" ref="O65:S65" si="104">IFERROR(O21/$B51,0)</f>
        <v>0</v>
      </c>
      <c r="P65" s="30">
        <f t="shared" si="104"/>
        <v>0</v>
      </c>
      <c r="Q65" s="30">
        <f t="shared" si="104"/>
        <v>0</v>
      </c>
      <c r="R65" s="30">
        <f t="shared" si="104"/>
        <v>0</v>
      </c>
      <c r="S65" s="30">
        <f t="shared" si="104"/>
        <v>0</v>
      </c>
      <c r="T65" s="38">
        <f>IFERROR(up_RadSpec!$F$21*T21,".")*$B$65</f>
        <v>0</v>
      </c>
      <c r="U65" s="38">
        <f>IFERROR(up_RadSpec!$M$21*U21,".")*$B$65</f>
        <v>0</v>
      </c>
      <c r="V65" s="38">
        <f>IFERROR(up_RadSpec!$N$21*V21,".")*$B$65</f>
        <v>0</v>
      </c>
      <c r="W65" s="38">
        <f>IFERROR(up_RadSpec!$O$21*W21,".")*$B$65</f>
        <v>0</v>
      </c>
      <c r="X65" s="38">
        <f>IFERROR(up_RadSpec!$K$21*X21,".")*$B$65</f>
        <v>0</v>
      </c>
      <c r="Y65" s="47">
        <f t="shared" si="100"/>
        <v>0</v>
      </c>
      <c r="Z65" s="47">
        <f t="shared" si="100"/>
        <v>0</v>
      </c>
      <c r="AA65" s="47">
        <f t="shared" si="100"/>
        <v>0</v>
      </c>
      <c r="AB65" s="47">
        <f t="shared" si="100"/>
        <v>0</v>
      </c>
      <c r="AC65" s="47">
        <f t="shared" si="100"/>
        <v>0</v>
      </c>
      <c r="AD65" s="30">
        <f t="shared" ref="AD65:AF65" si="105">IFERROR(AD21/$B51,0)</f>
        <v>2.9090909090909094E-10</v>
      </c>
      <c r="AE65" s="30">
        <f t="shared" si="105"/>
        <v>6.3709090909090908E-6</v>
      </c>
      <c r="AF65" s="30">
        <f t="shared" si="105"/>
        <v>2.9089580799548386E-10</v>
      </c>
      <c r="AG65" s="38">
        <f>IFERROR(up_RadSpec!$G$21*AG21,".")*$B$65</f>
        <v>171875</v>
      </c>
      <c r="AH65" s="38">
        <f>IFERROR(up_RadSpec!$J$21*AH21,".")*$B$65</f>
        <v>7.8481735159817356</v>
      </c>
      <c r="AI65" s="47">
        <f t="shared" si="102"/>
        <v>1</v>
      </c>
      <c r="AJ65" s="47">
        <f t="shared" si="102"/>
        <v>0.99960953550549536</v>
      </c>
      <c r="AK65" s="47">
        <f t="shared" si="103"/>
        <v>1</v>
      </c>
    </row>
    <row r="66" spans="1:37" x14ac:dyDescent="0.25">
      <c r="A66" s="29" t="s">
        <v>308</v>
      </c>
      <c r="B66" s="35">
        <v>0.99980000000000002</v>
      </c>
      <c r="C66" s="2"/>
      <c r="D66" s="30">
        <f>IFERROR(D17/$B52,0)</f>
        <v>7.2741821091491036E-8</v>
      </c>
      <c r="E66" s="30">
        <f>IFERROR(E17/$B52,0)</f>
        <v>9.0268374564450091E-5</v>
      </c>
      <c r="F66" s="30">
        <f>IFERROR(F17/$B52,0)</f>
        <v>7.0342285694447007E-5</v>
      </c>
      <c r="G66" s="30">
        <f t="shared" si="96"/>
        <v>7.2608225458765041E-8</v>
      </c>
      <c r="H66" s="38">
        <f>IFERROR(up_RadSpec!$I$17*H17,".")*$B$66</f>
        <v>687.36250000000007</v>
      </c>
      <c r="I66" s="38">
        <f>IFERROR(up_RadSpec!$G$17*I17,".")*$B$66</f>
        <v>0.55390384773463319</v>
      </c>
      <c r="J66" s="38">
        <f>IFERROR(up_RadSpec!$F$17*J17,".")*$B$66</f>
        <v>0.71080999865699757</v>
      </c>
      <c r="K66" s="47">
        <f t="shared" si="97"/>
        <v>1</v>
      </c>
      <c r="L66" s="47">
        <f t="shared" si="97"/>
        <v>0.42529812317971594</v>
      </c>
      <c r="M66" s="47">
        <f t="shared" si="97"/>
        <v>0.50875387243889236</v>
      </c>
      <c r="N66" s="47">
        <f t="shared" si="98"/>
        <v>1</v>
      </c>
      <c r="O66" s="30">
        <f t="shared" ref="O66:S66" si="106">IFERROR(O17/$B52,0)</f>
        <v>7.0342285694447007E-5</v>
      </c>
      <c r="P66" s="30">
        <f t="shared" si="106"/>
        <v>1.2293785520792731E-4</v>
      </c>
      <c r="Q66" s="30">
        <f t="shared" si="106"/>
        <v>9.2623153705958522E-5</v>
      </c>
      <c r="R66" s="30">
        <f t="shared" si="106"/>
        <v>8.2363423450425844E-5</v>
      </c>
      <c r="S66" s="30">
        <f t="shared" si="106"/>
        <v>2.3556566311846343E-4</v>
      </c>
      <c r="T66" s="38">
        <f>IFERROR(up_RadSpec!$F$17*T17,".")*$B$66</f>
        <v>0.71080999865699757</v>
      </c>
      <c r="U66" s="38">
        <f>IFERROR(up_RadSpec!$M$17*U17,".")*$B$66</f>
        <v>0.40670955187426988</v>
      </c>
      <c r="V66" s="38">
        <f>IFERROR(up_RadSpec!$N$17*V17,".")*$B$66</f>
        <v>0.53982182639483445</v>
      </c>
      <c r="W66" s="38">
        <f>IFERROR(up_RadSpec!$O$17*W17,".")*$B$66</f>
        <v>0.60706558694824997</v>
      </c>
      <c r="X66" s="38">
        <f>IFERROR(up_RadSpec!$K$17*X17,".")*$B$66</f>
        <v>0.21225504319301217</v>
      </c>
      <c r="Y66" s="47">
        <f t="shared" si="100"/>
        <v>0.50875387243889236</v>
      </c>
      <c r="Z66" s="47">
        <f t="shared" si="100"/>
        <v>0.33416244651137428</v>
      </c>
      <c r="AA66" s="47">
        <f t="shared" si="100"/>
        <v>0.41714790801851698</v>
      </c>
      <c r="AB66" s="47">
        <f t="shared" si="100"/>
        <v>0.45505237341634774</v>
      </c>
      <c r="AC66" s="47">
        <f t="shared" si="100"/>
        <v>0.19124159706486266</v>
      </c>
      <c r="AD66" s="30">
        <f t="shared" ref="AD66:AF66" si="107">IFERROR(AD17/$B52,0)</f>
        <v>2.9096728436596413E-10</v>
      </c>
      <c r="AE66" s="30">
        <f t="shared" si="107"/>
        <v>6.3721835276146137E-6</v>
      </c>
      <c r="AF66" s="30">
        <f t="shared" si="107"/>
        <v>2.9095399879524292E-10</v>
      </c>
      <c r="AG66" s="38">
        <f>IFERROR(up_RadSpec!$G$17*AG17,".")*$B$66</f>
        <v>171840.625</v>
      </c>
      <c r="AH66" s="38">
        <f>IFERROR(up_RadSpec!$J$17*AH17,".")*$B$66</f>
        <v>7.846603881278539</v>
      </c>
      <c r="AI66" s="47">
        <f t="shared" si="102"/>
        <v>1</v>
      </c>
      <c r="AJ66" s="47">
        <f t="shared" si="102"/>
        <v>0.99960892213761854</v>
      </c>
      <c r="AK66" s="47">
        <f t="shared" si="103"/>
        <v>1</v>
      </c>
    </row>
    <row r="67" spans="1:37" x14ac:dyDescent="0.25">
      <c r="A67" s="29" t="s">
        <v>309</v>
      </c>
      <c r="B67" s="34">
        <v>2.0000000000000001E-4</v>
      </c>
      <c r="C67" s="2"/>
      <c r="D67" s="30">
        <f>IFERROR(D5/$B53,0)</f>
        <v>3.6363636363636367E-4</v>
      </c>
      <c r="E67" s="30">
        <f>IFERROR(E5/$B53,0)</f>
        <v>0.45125160444768597</v>
      </c>
      <c r="F67" s="30">
        <f>IFERROR(F5/$B53,0)</f>
        <v>0</v>
      </c>
      <c r="G67" s="30">
        <f t="shared" si="96"/>
        <v>3.6334356704092303E-4</v>
      </c>
      <c r="H67" s="38">
        <f>IFERROR(up_RadSpec!$I$5*H5,".")*$B$67</f>
        <v>0.13750000000000001</v>
      </c>
      <c r="I67" s="38">
        <f>IFERROR(up_RadSpec!$G$5*I5,".")*$B$67</f>
        <v>1.1080293013295324E-4</v>
      </c>
      <c r="J67" s="38">
        <f>IFERROR(up_RadSpec!$F$5*J5,".")*$B$67</f>
        <v>0</v>
      </c>
      <c r="K67" s="47">
        <f t="shared" si="97"/>
        <v>0.12846565000284216</v>
      </c>
      <c r="L67" s="47">
        <f t="shared" si="97"/>
        <v>1.1080293013295324E-4</v>
      </c>
      <c r="M67" s="47">
        <f t="shared" si="97"/>
        <v>0</v>
      </c>
      <c r="N67" s="47">
        <f t="shared" si="98"/>
        <v>0.12856221321269123</v>
      </c>
      <c r="O67" s="30">
        <f t="shared" ref="O67:S67" si="108">IFERROR(O5/$B53,0)</f>
        <v>0</v>
      </c>
      <c r="P67" s="30">
        <f t="shared" si="108"/>
        <v>0</v>
      </c>
      <c r="Q67" s="30">
        <f t="shared" si="108"/>
        <v>0</v>
      </c>
      <c r="R67" s="30">
        <f t="shared" si="108"/>
        <v>0</v>
      </c>
      <c r="S67" s="30">
        <f t="shared" si="108"/>
        <v>0</v>
      </c>
      <c r="T67" s="38">
        <f>IFERROR(up_RadSpec!$F$5*T5,".")*$B$67</f>
        <v>0</v>
      </c>
      <c r="U67" s="38">
        <f>IFERROR(up_RadSpec!$M$5*U5,".")*$B$67</f>
        <v>0</v>
      </c>
      <c r="V67" s="38">
        <f>IFERROR(up_RadSpec!$N$5*V5,".")*$B$67</f>
        <v>0</v>
      </c>
      <c r="W67" s="38">
        <f>IFERROR(up_RadSpec!$O$5*W5,".")*$B$67</f>
        <v>0</v>
      </c>
      <c r="X67" s="38">
        <f>IFERROR(up_RadSpec!$K$5*X5,".")*$B$67</f>
        <v>0</v>
      </c>
      <c r="Y67" s="47">
        <f t="shared" si="100"/>
        <v>0</v>
      </c>
      <c r="Z67" s="47">
        <f t="shared" si="100"/>
        <v>0</v>
      </c>
      <c r="AA67" s="47">
        <f t="shared" si="100"/>
        <v>0</v>
      </c>
      <c r="AB67" s="47">
        <f t="shared" si="100"/>
        <v>0</v>
      </c>
      <c r="AC67" s="47">
        <f t="shared" si="100"/>
        <v>0</v>
      </c>
      <c r="AD67" s="30">
        <f t="shared" ref="AD67:AF67" si="109">IFERROR(AD5/$B53,0)</f>
        <v>1.4545454545454546E-6</v>
      </c>
      <c r="AE67" s="30">
        <f t="shared" si="109"/>
        <v>3.1854545454545455E-2</v>
      </c>
      <c r="AF67" s="30">
        <f t="shared" si="109"/>
        <v>1.4544790399774192E-6</v>
      </c>
      <c r="AG67" s="38">
        <f>IFERROR(up_RadSpec!$G$5*AG5,".")*$B$67</f>
        <v>34.375</v>
      </c>
      <c r="AH67" s="38">
        <f>IFERROR(up_RadSpec!$J$5*AH5,".")*$B$67</f>
        <v>1.5696347031963472E-3</v>
      </c>
      <c r="AI67" s="47">
        <f t="shared" si="102"/>
        <v>0.99999999999999878</v>
      </c>
      <c r="AJ67" s="47">
        <f t="shared" si="102"/>
        <v>1.5696347031963472E-3</v>
      </c>
      <c r="AK67" s="47">
        <f t="shared" si="103"/>
        <v>0.99999999999999878</v>
      </c>
    </row>
    <row r="68" spans="1:37" x14ac:dyDescent="0.25">
      <c r="A68" s="29" t="s">
        <v>310</v>
      </c>
      <c r="B68" s="34">
        <v>0.99999979999999999</v>
      </c>
      <c r="C68" s="2"/>
      <c r="D68" s="30">
        <f>IFERROR(D9/$B54,0)</f>
        <v>7.2727287272730192E-8</v>
      </c>
      <c r="E68" s="30">
        <f>IFERROR(E9/$B54,0)</f>
        <v>9.0250338939604991E-5</v>
      </c>
      <c r="F68" s="30">
        <f>IFERROR(F9/$B54,0)</f>
        <v>2.600218650537089E-5</v>
      </c>
      <c r="G68" s="30">
        <f t="shared" si="96"/>
        <v>7.2466205474463068E-8</v>
      </c>
      <c r="H68" s="38">
        <f>IFERROR(up_RadSpec!$I$9*H9,".")*$B$68</f>
        <v>687.49986249999995</v>
      </c>
      <c r="I68" s="38">
        <f>IFERROR(up_RadSpec!$G$9*I9,".")*$B$68</f>
        <v>0.55401453986183602</v>
      </c>
      <c r="J68" s="38">
        <f>IFERROR(up_RadSpec!$F$9*J9,".")*$B$68</f>
        <v>1.9229152129061235</v>
      </c>
      <c r="K68" s="47">
        <f t="shared" si="97"/>
        <v>1</v>
      </c>
      <c r="L68" s="47">
        <f t="shared" si="97"/>
        <v>0.42536173463226024</v>
      </c>
      <c r="M68" s="47">
        <f t="shared" si="97"/>
        <v>0.85381980601553686</v>
      </c>
      <c r="N68" s="47">
        <f t="shared" si="98"/>
        <v>1</v>
      </c>
      <c r="O68" s="30">
        <f t="shared" ref="O68:S68" si="110">IFERROR(O9/$B54,0)</f>
        <v>2.600218650537089E-5</v>
      </c>
      <c r="P68" s="30">
        <f t="shared" si="110"/>
        <v>5.3256828833183977E-5</v>
      </c>
      <c r="Q68" s="30">
        <f t="shared" si="110"/>
        <v>3.7472546918109186E-5</v>
      </c>
      <c r="R68" s="30">
        <f t="shared" si="110"/>
        <v>3.0889262376199585E-5</v>
      </c>
      <c r="S68" s="30">
        <f t="shared" si="110"/>
        <v>9.4332728410522875E-5</v>
      </c>
      <c r="T68" s="38">
        <f>IFERROR(up_RadSpec!$F$9*T9,".")*$B$68</f>
        <v>1.9229152129061235</v>
      </c>
      <c r="U68" s="38">
        <f>IFERROR(up_RadSpec!$M$9*U9,".")*$B$68</f>
        <v>0.93884673750693426</v>
      </c>
      <c r="V68" s="38">
        <f>IFERROR(up_RadSpec!$N$9*V9,".")*$B$68</f>
        <v>1.3343101580276284</v>
      </c>
      <c r="W68" s="38">
        <f>IFERROR(up_RadSpec!$O$9*W9,".")*$B$68</f>
        <v>1.6186854639340753</v>
      </c>
      <c r="X68" s="38">
        <f>IFERROR(up_RadSpec!$K$9*X9,".")*$B$68</f>
        <v>0.53003873462036399</v>
      </c>
      <c r="Y68" s="47">
        <f t="shared" si="100"/>
        <v>0.85381980601553686</v>
      </c>
      <c r="Z68" s="47">
        <f t="shared" si="100"/>
        <v>0.60892140834000386</v>
      </c>
      <c r="AA68" s="47">
        <f t="shared" si="100"/>
        <v>0.73666022435865575</v>
      </c>
      <c r="AB68" s="47">
        <f t="shared" si="100"/>
        <v>0.80184098487911615</v>
      </c>
      <c r="AC68" s="47">
        <f t="shared" si="100"/>
        <v>0.41141782927013248</v>
      </c>
      <c r="AD68" s="30">
        <f t="shared" ref="AD68:AF68" si="111">IFERROR(AD9/$B54,0)</f>
        <v>2.9090914909092077E-10</v>
      </c>
      <c r="AE68" s="30">
        <f t="shared" si="111"/>
        <v>6.3709103650911641E-6</v>
      </c>
      <c r="AF68" s="30">
        <f t="shared" si="111"/>
        <v>2.908958661746571E-10</v>
      </c>
      <c r="AG68" s="38">
        <f>IFERROR(up_RadSpec!$G$9*AG9,".")*$B$68</f>
        <v>171874.96562500001</v>
      </c>
      <c r="AH68" s="38">
        <f>IFERROR(up_RadSpec!$J$9*AH9,".")*$B$68</f>
        <v>7.8481719463470325</v>
      </c>
      <c r="AI68" s="47">
        <f t="shared" si="102"/>
        <v>1</v>
      </c>
      <c r="AJ68" s="47">
        <f t="shared" si="102"/>
        <v>0.99960953489260818</v>
      </c>
      <c r="AK68" s="47">
        <f t="shared" si="103"/>
        <v>1</v>
      </c>
    </row>
    <row r="69" spans="1:37" x14ac:dyDescent="0.25">
      <c r="A69" s="29" t="s">
        <v>311</v>
      </c>
      <c r="B69" s="34">
        <v>1.9999999999999999E-7</v>
      </c>
      <c r="C69" s="2"/>
      <c r="D69" s="30">
        <f>IFERROR(D24/$B55,0)</f>
        <v>0.3636363636363637</v>
      </c>
      <c r="E69" s="30">
        <f>IFERROR(E24/$B55,0)</f>
        <v>451.25160444768602</v>
      </c>
      <c r="F69" s="30">
        <f>IFERROR(F24/$B55,0)</f>
        <v>229.43681137790276</v>
      </c>
      <c r="G69" s="30">
        <f t="shared" si="96"/>
        <v>0.36276907418324134</v>
      </c>
      <c r="H69" s="38">
        <f>IFERROR(up_RadSpec!$I$24*H24,".")*$B$69</f>
        <v>1.3749999999999998E-4</v>
      </c>
      <c r="I69" s="38">
        <f>IFERROR(up_RadSpec!$G$24*I24,".")*$B$69</f>
        <v>1.1080293013295323E-7</v>
      </c>
      <c r="J69" s="38">
        <f>IFERROR(up_RadSpec!$F$24*J24,".")*$B$69</f>
        <v>2.1792492538455646E-7</v>
      </c>
      <c r="K69" s="47">
        <f t="shared" si="97"/>
        <v>1.3749999999999998E-4</v>
      </c>
      <c r="L69" s="47">
        <f t="shared" si="97"/>
        <v>1.1080293013295323E-7</v>
      </c>
      <c r="M69" s="47">
        <f t="shared" si="97"/>
        <v>2.1792492538455646E-7</v>
      </c>
      <c r="N69" s="47">
        <f t="shared" si="98"/>
        <v>1.3782872785551747E-4</v>
      </c>
      <c r="O69" s="30">
        <f t="shared" ref="O69:S69" si="112">IFERROR(O24/$B55,0)</f>
        <v>229.43681137790276</v>
      </c>
      <c r="P69" s="30">
        <f t="shared" si="112"/>
        <v>415.97237211310181</v>
      </c>
      <c r="Q69" s="30">
        <f t="shared" si="112"/>
        <v>293.70337401551672</v>
      </c>
      <c r="R69" s="30">
        <f t="shared" si="112"/>
        <v>245.26136013662966</v>
      </c>
      <c r="S69" s="30">
        <f t="shared" si="112"/>
        <v>691.34865134865106</v>
      </c>
      <c r="T69" s="38">
        <f>IFERROR(up_RadSpec!$F$24*T24,".")*$B$69</f>
        <v>2.1792492538455646E-7</v>
      </c>
      <c r="U69" s="38">
        <f>IFERROR(up_RadSpec!$M$24*U24,".")*$B$69</f>
        <v>1.2020029057700292E-7</v>
      </c>
      <c r="V69" s="38">
        <f>IFERROR(up_RadSpec!$N$24*V24,".")*$B$69</f>
        <v>1.7023978756661627E-7</v>
      </c>
      <c r="W69" s="38">
        <f>IFERROR(up_RadSpec!$O$24*W24,".")*$B$69</f>
        <v>2.0386415525114157E-7</v>
      </c>
      <c r="X69" s="38">
        <f>IFERROR(up_RadSpec!$K$24*X24,".")*$B$69</f>
        <v>7.2322409109300078E-8</v>
      </c>
      <c r="Y69" s="47">
        <f t="shared" si="100"/>
        <v>2.1792492538455646E-7</v>
      </c>
      <c r="Z69" s="47">
        <f t="shared" si="100"/>
        <v>1.2020029057700292E-7</v>
      </c>
      <c r="AA69" s="47">
        <f t="shared" si="100"/>
        <v>1.7023978756661627E-7</v>
      </c>
      <c r="AB69" s="47">
        <f t="shared" si="100"/>
        <v>2.0386415525114157E-7</v>
      </c>
      <c r="AC69" s="47">
        <f t="shared" si="100"/>
        <v>7.2322409109300078E-8</v>
      </c>
      <c r="AD69" s="30">
        <f t="shared" ref="AD69:AF69" si="113">IFERROR(AD24/$B55,0)</f>
        <v>1.4545454545454547E-3</v>
      </c>
      <c r="AE69" s="30">
        <f t="shared" si="113"/>
        <v>31.854545454545455</v>
      </c>
      <c r="AF69" s="30">
        <f t="shared" si="113"/>
        <v>1.4544790399774194E-3</v>
      </c>
      <c r="AG69" s="38">
        <f>IFERROR(up_RadSpec!$G$24*AG24,".")*$B$69</f>
        <v>3.4374999999999996E-2</v>
      </c>
      <c r="AH69" s="38">
        <f>IFERROR(up_RadSpec!$J$24*AH24,".")*$B$69</f>
        <v>1.5696347031963471E-6</v>
      </c>
      <c r="AI69" s="47">
        <f t="shared" si="102"/>
        <v>3.379089172316796E-2</v>
      </c>
      <c r="AJ69" s="47">
        <f t="shared" si="102"/>
        <v>1.5696347031963471E-6</v>
      </c>
      <c r="AK69" s="47">
        <f t="shared" si="103"/>
        <v>3.3792408317324552E-2</v>
      </c>
    </row>
    <row r="70" spans="1:37" x14ac:dyDescent="0.25">
      <c r="A70" s="29" t="s">
        <v>312</v>
      </c>
      <c r="B70" s="34">
        <v>0.99979000004200003</v>
      </c>
      <c r="C70" s="2"/>
      <c r="D70" s="30">
        <f>IFERROR(D20/$B56,0)</f>
        <v>7.2742548659436027E-8</v>
      </c>
      <c r="E70" s="30">
        <f>IFERROR(E20/$B56,0)</f>
        <v>9.0269277434007028E-5</v>
      </c>
      <c r="F70" s="30">
        <f>IFERROR(F20/$B56,0)</f>
        <v>3.5946960422736814E-5</v>
      </c>
      <c r="G70" s="30">
        <f t="shared" si="96"/>
        <v>7.2537308170963332E-8</v>
      </c>
      <c r="H70" s="38">
        <f>IFERROR(up_RadSpec!$I$20*H20,".")*$B$70</f>
        <v>687.35562502887501</v>
      </c>
      <c r="I70" s="38">
        <f>IFERROR(up_RadSpec!$G$20*I20,".")*$B$70</f>
        <v>0.55389830761139525</v>
      </c>
      <c r="J70" s="38">
        <f>IFERROR(up_RadSpec!$F$20*J20,".")*$B$70</f>
        <v>1.3909381881527458</v>
      </c>
      <c r="K70" s="47">
        <f t="shared" si="97"/>
        <v>1</v>
      </c>
      <c r="L70" s="47">
        <f t="shared" si="97"/>
        <v>0.42529493925167361</v>
      </c>
      <c r="M70" s="47">
        <f t="shared" si="97"/>
        <v>0.75115826528488228</v>
      </c>
      <c r="N70" s="47">
        <f t="shared" si="98"/>
        <v>1</v>
      </c>
      <c r="O70" s="30">
        <f t="shared" ref="O70:S70" si="114">IFERROR(O20/$B56,0)</f>
        <v>3.5946960422736814E-5</v>
      </c>
      <c r="P70" s="30">
        <f t="shared" si="114"/>
        <v>7.0890810480460354E-5</v>
      </c>
      <c r="Q70" s="30">
        <f t="shared" si="114"/>
        <v>4.9600825761736339E-5</v>
      </c>
      <c r="R70" s="30">
        <f t="shared" si="114"/>
        <v>4.1648674918735949E-5</v>
      </c>
      <c r="S70" s="30">
        <f t="shared" si="114"/>
        <v>1.2079522776261757E-4</v>
      </c>
      <c r="T70" s="38">
        <f>IFERROR(up_RadSpec!$F$20*T20,".")*$B$70</f>
        <v>1.3909381881527458</v>
      </c>
      <c r="U70" s="38">
        <f>IFERROR(up_RadSpec!$M$20*U20,".")*$B$70</f>
        <v>0.7053100347016279</v>
      </c>
      <c r="V70" s="38">
        <f>IFERROR(up_RadSpec!$N$20*V20,".")*$B$70</f>
        <v>1.008047733724861</v>
      </c>
      <c r="W70" s="38">
        <f>IFERROR(up_RadSpec!$O$20*W20,".")*$B$70</f>
        <v>1.2005183861805691</v>
      </c>
      <c r="X70" s="38">
        <f>IFERROR(up_RadSpec!$K$20*X20,".")*$B$70</f>
        <v>0.41392363693587469</v>
      </c>
      <c r="Y70" s="47">
        <f t="shared" si="100"/>
        <v>0.75115826528488228</v>
      </c>
      <c r="Z70" s="47">
        <f t="shared" si="100"/>
        <v>0.50604459280347092</v>
      </c>
      <c r="AA70" s="47">
        <f t="shared" si="100"/>
        <v>0.63506927346415554</v>
      </c>
      <c r="AB70" s="47">
        <f t="shared" si="100"/>
        <v>0.69896188254282088</v>
      </c>
      <c r="AC70" s="47">
        <f t="shared" si="100"/>
        <v>0.33894857074875684</v>
      </c>
      <c r="AD70" s="30">
        <f t="shared" ref="AD70:AF70" si="115">IFERROR(AD20/$B56,0)</f>
        <v>2.9097019463774413E-10</v>
      </c>
      <c r="AE70" s="30">
        <f t="shared" si="115"/>
        <v>6.372247262566595E-6</v>
      </c>
      <c r="AF70" s="30">
        <f t="shared" si="115"/>
        <v>2.9095690893413982E-10</v>
      </c>
      <c r="AG70" s="38">
        <f>IFERROR(up_RadSpec!$G$20*AG20,".")*$B$70</f>
        <v>171838.90625721877</v>
      </c>
      <c r="AH70" s="38">
        <f>IFERROR(up_RadSpec!$J$20*AH20,".")*$B$70</f>
        <v>7.8465253998730029</v>
      </c>
      <c r="AI70" s="47">
        <f t="shared" si="102"/>
        <v>1</v>
      </c>
      <c r="AJ70" s="47">
        <f t="shared" si="102"/>
        <v>0.99960889144407383</v>
      </c>
      <c r="AK70" s="47">
        <f t="shared" si="103"/>
        <v>1</v>
      </c>
    </row>
    <row r="71" spans="1:37" x14ac:dyDescent="0.25">
      <c r="A71" s="29" t="s">
        <v>313</v>
      </c>
      <c r="B71" s="34">
        <v>2.0999995799999999E-4</v>
      </c>
      <c r="C71" s="2"/>
      <c r="D71" s="30">
        <f>IFERROR(D29/$B57,0)</f>
        <v>3.463204155844295E-4</v>
      </c>
      <c r="E71" s="30">
        <f>IFERROR(E29/$B57,0)</f>
        <v>0.42976351876002378</v>
      </c>
      <c r="F71" s="30">
        <f>IFERROR(F29/$B57,0)</f>
        <v>0.13469593212689498</v>
      </c>
      <c r="G71" s="30">
        <f t="shared" si="96"/>
        <v>3.4515483908484449E-4</v>
      </c>
      <c r="H71" s="38">
        <f>IFERROR(up_RadSpec!$I$29*H29,".")*$B$71</f>
        <v>0.144374971125</v>
      </c>
      <c r="I71" s="38">
        <f>IFERROR(up_RadSpec!$G$29*I29,".")*$B$71</f>
        <v>1.1634305337098556E-4</v>
      </c>
      <c r="J71" s="38">
        <f>IFERROR(up_RadSpec!$F$29*J29,".")*$B$71</f>
        <v>3.7120645895152773E-4</v>
      </c>
      <c r="K71" s="47">
        <f t="shared" si="97"/>
        <v>0.13443687397805959</v>
      </c>
      <c r="L71" s="47">
        <f t="shared" si="97"/>
        <v>1.1634305337098556E-4</v>
      </c>
      <c r="M71" s="47">
        <f t="shared" si="97"/>
        <v>3.7120645895152773E-4</v>
      </c>
      <c r="N71" s="47">
        <f t="shared" si="98"/>
        <v>0.13485877600061602</v>
      </c>
      <c r="O71" s="30">
        <f t="shared" ref="O71:S71" si="116">IFERROR(O29/$B57,0)</f>
        <v>0.13469593212689498</v>
      </c>
      <c r="P71" s="30">
        <f t="shared" si="116"/>
        <v>0.26878109727410504</v>
      </c>
      <c r="Q71" s="30">
        <f t="shared" si="116"/>
        <v>0.19147851056235177</v>
      </c>
      <c r="R71" s="30">
        <f t="shared" si="116"/>
        <v>0.16242320930781862</v>
      </c>
      <c r="S71" s="30">
        <f t="shared" si="116"/>
        <v>0.48264472462811853</v>
      </c>
      <c r="T71" s="38">
        <f>IFERROR(up_RadSpec!$F$29*T29,".")*$B$71</f>
        <v>3.7120645895152773E-4</v>
      </c>
      <c r="U71" s="38">
        <f>IFERROR(up_RadSpec!$M$29*U29,".")*$B$71</f>
        <v>1.8602498653024559E-4</v>
      </c>
      <c r="V71" s="38">
        <f>IFERROR(up_RadSpec!$N$29*V29,".")*$B$71</f>
        <v>2.6112590834948213E-4</v>
      </c>
      <c r="W71" s="38">
        <f>IFERROR(up_RadSpec!$O$29*W29,".")*$B$71</f>
        <v>3.0783777892999157E-4</v>
      </c>
      <c r="X71" s="38">
        <f>IFERROR(up_RadSpec!$K$29*X29,".")*$B$71</f>
        <v>1.0359586969178082E-4</v>
      </c>
      <c r="Y71" s="47">
        <f t="shared" si="100"/>
        <v>3.7120645895152773E-4</v>
      </c>
      <c r="Z71" s="47">
        <f t="shared" si="100"/>
        <v>1.8602498653024559E-4</v>
      </c>
      <c r="AA71" s="47">
        <f t="shared" si="100"/>
        <v>2.6112590834948213E-4</v>
      </c>
      <c r="AB71" s="47">
        <f t="shared" si="100"/>
        <v>3.0783777892999157E-4</v>
      </c>
      <c r="AC71" s="47">
        <f t="shared" si="100"/>
        <v>1.0359586969178082E-4</v>
      </c>
      <c r="AD71" s="30">
        <f t="shared" ref="AD71:AF71" si="117">IFERROR(AD29/$B57,0)</f>
        <v>1.385281662337718E-6</v>
      </c>
      <c r="AE71" s="30">
        <f t="shared" si="117"/>
        <v>3.0337668405196021E-2</v>
      </c>
      <c r="AF71" s="30">
        <f t="shared" si="117"/>
        <v>1.3852184103555101E-6</v>
      </c>
      <c r="AG71" s="38">
        <f>IFERROR(up_RadSpec!$G$29*AG29,".")*$B$71</f>
        <v>36.09374278125</v>
      </c>
      <c r="AH71" s="38">
        <f>IFERROR(up_RadSpec!$J$29*AH29,".")*$B$71</f>
        <v>1.6481161087328767E-3</v>
      </c>
      <c r="AI71" s="47">
        <f t="shared" si="102"/>
        <v>0.99999999999999978</v>
      </c>
      <c r="AJ71" s="47">
        <f t="shared" si="102"/>
        <v>1.6481161087328767E-3</v>
      </c>
      <c r="AK71" s="47">
        <f t="shared" si="103"/>
        <v>0.99999999999999978</v>
      </c>
    </row>
    <row r="72" spans="1:37" x14ac:dyDescent="0.25">
      <c r="A72" s="29" t="s">
        <v>314</v>
      </c>
      <c r="B72" s="34">
        <v>1</v>
      </c>
      <c r="C72" s="2"/>
      <c r="D72" s="30">
        <f>IFERROR(D16/$B58,0)</f>
        <v>7.272727272727274E-8</v>
      </c>
      <c r="E72" s="30">
        <f>IFERROR(E16/$B58,0)</f>
        <v>9.0250320889537203E-5</v>
      </c>
      <c r="F72" s="30">
        <f>IFERROR(F16/$B58,0)</f>
        <v>0.76494620302510574</v>
      </c>
      <c r="G72" s="30">
        <f t="shared" si="96"/>
        <v>7.26687065047692E-8</v>
      </c>
      <c r="H72" s="38">
        <f>IFERROR(up_RadSpec!$I$16*H16,".")*$B$72</f>
        <v>687.5</v>
      </c>
      <c r="I72" s="38">
        <f>IFERROR(up_RadSpec!$G$16*I16,".")*$B$72</f>
        <v>0.55401465066476618</v>
      </c>
      <c r="J72" s="38">
        <f>IFERROR(up_RadSpec!$F$16*J16,".")*$B$72</f>
        <v>6.5364073711676431E-5</v>
      </c>
      <c r="K72" s="47">
        <f t="shared" si="97"/>
        <v>1</v>
      </c>
      <c r="L72" s="47">
        <f t="shared" si="97"/>
        <v>0.42536179830386023</v>
      </c>
      <c r="M72" s="47">
        <f t="shared" si="97"/>
        <v>6.5364073711676431E-5</v>
      </c>
      <c r="N72" s="47">
        <f t="shared" si="98"/>
        <v>1</v>
      </c>
      <c r="O72" s="30">
        <f t="shared" ref="O72:S72" si="118">IFERROR(O16/$B58,0)</f>
        <v>0.76494620302510574</v>
      </c>
      <c r="P72" s="30">
        <f t="shared" si="118"/>
        <v>1.3623429416112349</v>
      </c>
      <c r="Q72" s="30">
        <f t="shared" si="118"/>
        <v>0.81841380561977772</v>
      </c>
      <c r="R72" s="30">
        <f t="shared" si="118"/>
        <v>0.82264249380461774</v>
      </c>
      <c r="S72" s="30">
        <f t="shared" si="118"/>
        <v>31.854545454545459</v>
      </c>
      <c r="T72" s="38">
        <f>IFERROR(up_RadSpec!$F$16*T16,".")*$B$72</f>
        <v>6.5364073711676431E-5</v>
      </c>
      <c r="U72" s="38">
        <f>IFERROR(up_RadSpec!$M$16*U16,".")*$B$72</f>
        <v>3.6701478367014769E-5</v>
      </c>
      <c r="V72" s="38">
        <f>IFERROR(up_RadSpec!$N$16*V16,".")*$B$72</f>
        <v>6.1093788565963199E-5</v>
      </c>
      <c r="W72" s="38">
        <f>IFERROR(up_RadSpec!$O$16*W16,".")*$B$72</f>
        <v>6.077974378488074E-5</v>
      </c>
      <c r="X72" s="38">
        <f>IFERROR(up_RadSpec!$K$16*X16,".")*$B$72</f>
        <v>1.5696347031963469E-6</v>
      </c>
      <c r="Y72" s="47">
        <f t="shared" si="100"/>
        <v>6.5364073711676431E-5</v>
      </c>
      <c r="Z72" s="47">
        <f t="shared" si="100"/>
        <v>3.6701478367014769E-5</v>
      </c>
      <c r="AA72" s="47">
        <f t="shared" si="100"/>
        <v>6.1093788565963199E-5</v>
      </c>
      <c r="AB72" s="47">
        <f t="shared" si="100"/>
        <v>6.077974378488074E-5</v>
      </c>
      <c r="AC72" s="47">
        <f t="shared" si="100"/>
        <v>1.5696347031963469E-6</v>
      </c>
      <c r="AD72" s="30">
        <f t="shared" ref="AD72:AF72" si="119">IFERROR(AD16/$B58,0)</f>
        <v>2.9090909090909094E-10</v>
      </c>
      <c r="AE72" s="30">
        <f t="shared" si="119"/>
        <v>6.3709090909090908E-6</v>
      </c>
      <c r="AF72" s="30">
        <f t="shared" si="119"/>
        <v>2.9089580799548386E-10</v>
      </c>
      <c r="AG72" s="38">
        <f>IFERROR(up_RadSpec!$G$16*AG16,".")*$B$72</f>
        <v>171875</v>
      </c>
      <c r="AH72" s="38">
        <f>IFERROR(up_RadSpec!$J$16*AH16,".")*$B$72</f>
        <v>7.8481735159817356</v>
      </c>
      <c r="AI72" s="47">
        <f t="shared" si="102"/>
        <v>1</v>
      </c>
      <c r="AJ72" s="47">
        <f t="shared" si="102"/>
        <v>0.99960953550549536</v>
      </c>
      <c r="AK72" s="47">
        <f t="shared" si="103"/>
        <v>1</v>
      </c>
    </row>
    <row r="73" spans="1:37" x14ac:dyDescent="0.25">
      <c r="A73" s="29" t="s">
        <v>315</v>
      </c>
      <c r="B73" s="34">
        <v>1</v>
      </c>
      <c r="C73" s="2"/>
      <c r="D73" s="30">
        <f>IFERROR(D7/$B59,0)</f>
        <v>7.272727272727274E-8</v>
      </c>
      <c r="E73" s="30">
        <f>IFERROR(E7/$B59,0)</f>
        <v>9.0250320889537203E-5</v>
      </c>
      <c r="F73" s="30">
        <f>IFERROR(F7/$B59,0)</f>
        <v>9.1843397478433964E-5</v>
      </c>
      <c r="G73" s="30">
        <f t="shared" si="96"/>
        <v>7.2611261624974268E-8</v>
      </c>
      <c r="H73" s="38">
        <f>IFERROR(up_RadSpec!$I$7*H7,".")*$B$73</f>
        <v>687.5</v>
      </c>
      <c r="I73" s="38">
        <f>IFERROR(up_RadSpec!$G$7*I7,".")*$B$73</f>
        <v>0.55401465066476618</v>
      </c>
      <c r="J73" s="38">
        <f>IFERROR(up_RadSpec!$F$7*J7,".")*$B$73</f>
        <v>0.54440494769088521</v>
      </c>
      <c r="K73" s="47">
        <f t="shared" si="97"/>
        <v>1</v>
      </c>
      <c r="L73" s="47">
        <f t="shared" si="97"/>
        <v>0.42536179830386023</v>
      </c>
      <c r="M73" s="47">
        <f t="shared" si="97"/>
        <v>0.41981307779039945</v>
      </c>
      <c r="N73" s="47">
        <f t="shared" si="98"/>
        <v>1</v>
      </c>
      <c r="O73" s="30">
        <f t="shared" ref="O73:S73" si="120">IFERROR(O7/$B59,0)</f>
        <v>9.1843397478433964E-5</v>
      </c>
      <c r="P73" s="30">
        <f t="shared" si="120"/>
        <v>1.4611153552330033E-4</v>
      </c>
      <c r="Q73" s="30">
        <f t="shared" si="120"/>
        <v>1.0704545454545457E-4</v>
      </c>
      <c r="R73" s="30">
        <f t="shared" si="120"/>
        <v>9.8471359678034887E-5</v>
      </c>
      <c r="S73" s="30">
        <f t="shared" si="120"/>
        <v>2.500423640530592E-4</v>
      </c>
      <c r="T73" s="38">
        <f>IFERROR(up_RadSpec!$F$7*T7,".")*$B$73</f>
        <v>0.54440494769088521</v>
      </c>
      <c r="U73" s="38">
        <f>IFERROR(up_RadSpec!$M$7*U7,".")*$B$73</f>
        <v>0.34220432918540189</v>
      </c>
      <c r="V73" s="38">
        <f>IFERROR(up_RadSpec!$N$7*V7,".")*$B$73</f>
        <v>0.46709129511677278</v>
      </c>
      <c r="W73" s="38">
        <f>IFERROR(up_RadSpec!$O$7*W7,".")*$B$73</f>
        <v>0.50776185241558169</v>
      </c>
      <c r="X73" s="38">
        <f>IFERROR(up_RadSpec!$K$7*X7,".")*$B$73</f>
        <v>0.19996611449966123</v>
      </c>
      <c r="Y73" s="47">
        <f t="shared" si="100"/>
        <v>0.41981307779039945</v>
      </c>
      <c r="Z73" s="47">
        <f t="shared" si="100"/>
        <v>0.28979692533318602</v>
      </c>
      <c r="AA73" s="47">
        <f t="shared" si="100"/>
        <v>0.3731771380662996</v>
      </c>
      <c r="AB73" s="47">
        <f t="shared" si="100"/>
        <v>0.39815891830321559</v>
      </c>
      <c r="AC73" s="47">
        <f t="shared" si="100"/>
        <v>0.18124150335075762</v>
      </c>
      <c r="AD73" s="30">
        <f t="shared" ref="AD73:AF73" si="121">IFERROR(AD7/$B59,0)</f>
        <v>2.9090909090909094E-10</v>
      </c>
      <c r="AE73" s="30">
        <f t="shared" si="121"/>
        <v>6.3709090909090908E-6</v>
      </c>
      <c r="AF73" s="30">
        <f t="shared" si="121"/>
        <v>2.9089580799548386E-10</v>
      </c>
      <c r="AG73" s="38">
        <f>IFERROR(up_RadSpec!$G$7*AG7,".")*$B$73</f>
        <v>171875</v>
      </c>
      <c r="AH73" s="38">
        <f>IFERROR(up_RadSpec!$J$7*AH7,".")*$B$73</f>
        <v>7.8481735159817356</v>
      </c>
      <c r="AI73" s="47">
        <f t="shared" si="102"/>
        <v>1</v>
      </c>
      <c r="AJ73" s="47">
        <f t="shared" si="102"/>
        <v>0.99960953550549536</v>
      </c>
      <c r="AK73" s="47">
        <f t="shared" si="103"/>
        <v>1</v>
      </c>
    </row>
    <row r="74" spans="1:37" x14ac:dyDescent="0.25">
      <c r="A74" s="29" t="s">
        <v>316</v>
      </c>
      <c r="B74" s="36">
        <v>1.9000000000000001E-8</v>
      </c>
      <c r="C74" s="2"/>
      <c r="D74" s="30">
        <f>IFERROR(D12/$B60,0)</f>
        <v>3.8277511961722492</v>
      </c>
      <c r="E74" s="30">
        <f>IFERROR(E12/$B60,0)</f>
        <v>4750.0168889230099</v>
      </c>
      <c r="F74" s="30">
        <f>IFERROR(F12/$B60,0)</f>
        <v>3751.6872799494449</v>
      </c>
      <c r="G74" s="30">
        <f t="shared" si="96"/>
        <v>3.8207740269233001</v>
      </c>
      <c r="H74" s="38">
        <f>IFERROR(up_RadSpec!$I$12*H12,".")*$B$74</f>
        <v>1.3062500000000001E-5</v>
      </c>
      <c r="I74" s="38">
        <f>IFERROR(up_RadSpec!$G$12*I12,".")*$B$74</f>
        <v>1.0526278362630558E-8</v>
      </c>
      <c r="J74" s="38">
        <f>IFERROR(up_RadSpec!$F$12*J12,".")*$B$74</f>
        <v>1.3327336813817216E-8</v>
      </c>
      <c r="K74" s="47">
        <f t="shared" si="97"/>
        <v>1.3062500000000001E-5</v>
      </c>
      <c r="L74" s="47">
        <f t="shared" si="97"/>
        <v>1.0526278362630558E-8</v>
      </c>
      <c r="M74" s="47">
        <f t="shared" si="97"/>
        <v>1.3327336813817216E-8</v>
      </c>
      <c r="N74" s="47">
        <f t="shared" si="98"/>
        <v>1.3086353615176449E-5</v>
      </c>
      <c r="O74" s="30">
        <f t="shared" ref="O74:S74" si="122">IFERROR(O12/$B60,0)</f>
        <v>3751.6872799494449</v>
      </c>
      <c r="P74" s="30">
        <f t="shared" si="122"/>
        <v>6730.7676010623618</v>
      </c>
      <c r="Q74" s="30">
        <f t="shared" si="122"/>
        <v>4880.3963634823604</v>
      </c>
      <c r="R74" s="30">
        <f t="shared" si="122"/>
        <v>4310.0706650788998</v>
      </c>
      <c r="S74" s="30">
        <f t="shared" si="122"/>
        <v>11618.982521238162</v>
      </c>
      <c r="T74" s="38">
        <f>IFERROR(up_RadSpec!$F$12*T12,".")*$B$74</f>
        <v>1.3327336813817216E-8</v>
      </c>
      <c r="U74" s="38">
        <f>IFERROR(up_RadSpec!$M$12*U12,".")*$B$74</f>
        <v>7.4285732272360999E-9</v>
      </c>
      <c r="V74" s="38">
        <f>IFERROR(up_RadSpec!$N$12*V12,".")*$B$74</f>
        <v>1.024506951405131E-8</v>
      </c>
      <c r="W74" s="38">
        <f>IFERROR(up_RadSpec!$O$12*W12,".")*$B$74</f>
        <v>1.1600737873072601E-8</v>
      </c>
      <c r="X74" s="38">
        <f>IFERROR(up_RadSpec!$K$12*X12,".")*$B$74</f>
        <v>4.3033027985545013E-9</v>
      </c>
      <c r="Y74" s="47">
        <f t="shared" si="100"/>
        <v>1.3327336813817216E-8</v>
      </c>
      <c r="Z74" s="47">
        <f t="shared" si="100"/>
        <v>7.4285732272360999E-9</v>
      </c>
      <c r="AA74" s="47">
        <f t="shared" si="100"/>
        <v>1.024506951405131E-8</v>
      </c>
      <c r="AB74" s="47">
        <f t="shared" si="100"/>
        <v>1.1600737873072601E-8</v>
      </c>
      <c r="AC74" s="47">
        <f t="shared" si="100"/>
        <v>4.3033027985545013E-9</v>
      </c>
      <c r="AD74" s="30">
        <f t="shared" ref="AD74:AF74" si="123">IFERROR(AD12/$B60,0)</f>
        <v>1.5311004784688996E-2</v>
      </c>
      <c r="AE74" s="30">
        <f t="shared" si="123"/>
        <v>335.31100478468898</v>
      </c>
      <c r="AF74" s="30">
        <f t="shared" si="123"/>
        <v>1.5310305683972833E-2</v>
      </c>
      <c r="AG74" s="38">
        <f>IFERROR(up_RadSpec!$G$12*AG12,".")*$B$74</f>
        <v>3.2656250000000003E-3</v>
      </c>
      <c r="AH74" s="38">
        <f>IFERROR(up_RadSpec!$J$12*AH12,".")*$B$74</f>
        <v>1.4911529680365299E-7</v>
      </c>
      <c r="AI74" s="47">
        <f t="shared" si="102"/>
        <v>3.2656250000000003E-3</v>
      </c>
      <c r="AJ74" s="47">
        <f t="shared" si="102"/>
        <v>1.4911529680365299E-7</v>
      </c>
      <c r="AK74" s="47">
        <f t="shared" si="103"/>
        <v>3.2657741152968042E-3</v>
      </c>
    </row>
    <row r="75" spans="1:37" x14ac:dyDescent="0.25">
      <c r="A75" s="29" t="s">
        <v>317</v>
      </c>
      <c r="B75" s="34">
        <v>1</v>
      </c>
      <c r="C75" s="2"/>
      <c r="D75" s="30">
        <f>IFERROR(D18/$B61,0)</f>
        <v>7.272727272727274E-8</v>
      </c>
      <c r="E75" s="30">
        <f>IFERROR(E18/$B61,0)</f>
        <v>9.0250320889537203E-5</v>
      </c>
      <c r="F75" s="30">
        <f>IFERROR(F18/$B61,0)</f>
        <v>3.5819104981705617E-5</v>
      </c>
      <c r="G75" s="30">
        <f t="shared" si="96"/>
        <v>7.2521583819291654E-8</v>
      </c>
      <c r="H75" s="38">
        <f>IFERROR(up_RadSpec!$I$18*H18,".")*$B$75</f>
        <v>687.5</v>
      </c>
      <c r="I75" s="38">
        <f>IFERROR(up_RadSpec!$G$18*I18,".")*$B$75</f>
        <v>0.55401465066476618</v>
      </c>
      <c r="J75" s="38">
        <f>IFERROR(up_RadSpec!$F$18*J18,".")*$B$75</f>
        <v>1.3959031088447689</v>
      </c>
      <c r="K75" s="47">
        <f t="shared" si="97"/>
        <v>1</v>
      </c>
      <c r="L75" s="47">
        <f t="shared" si="97"/>
        <v>0.42536179830386023</v>
      </c>
      <c r="M75" s="47">
        <f t="shared" si="97"/>
        <v>0.75239068280335397</v>
      </c>
      <c r="N75" s="47">
        <f t="shared" si="98"/>
        <v>1</v>
      </c>
      <c r="O75" s="30">
        <f t="shared" ref="O75:S75" si="124">IFERROR(O18/$B61,0)</f>
        <v>3.5819104981705617E-5</v>
      </c>
      <c r="P75" s="30">
        <f t="shared" si="124"/>
        <v>7.0875611640484193E-5</v>
      </c>
      <c r="Q75" s="30">
        <f t="shared" si="124"/>
        <v>4.9633877043552499E-5</v>
      </c>
      <c r="R75" s="30">
        <f t="shared" si="124"/>
        <v>4.1122563526890526E-5</v>
      </c>
      <c r="S75" s="30">
        <f t="shared" si="124"/>
        <v>1.2047552447552447E-4</v>
      </c>
      <c r="T75" s="38">
        <f>IFERROR(up_RadSpec!$F$18*T18,".")*$B$75</f>
        <v>1.3959031088447689</v>
      </c>
      <c r="U75" s="38">
        <f>IFERROR(up_RadSpec!$M$18*U18,".")*$B$75</f>
        <v>0.70546128411031572</v>
      </c>
      <c r="V75" s="38">
        <f>IFERROR(up_RadSpec!$N$18*V18,".")*$B$75</f>
        <v>1.0073764730513848</v>
      </c>
      <c r="W75" s="38">
        <f>IFERROR(up_RadSpec!$O$18*W18,".")*$B$75</f>
        <v>1.2158775064522531</v>
      </c>
      <c r="X75" s="38">
        <f>IFERROR(up_RadSpec!$K$18*X18,".")*$B$75</f>
        <v>0.4150220571163224</v>
      </c>
      <c r="Y75" s="47">
        <f t="shared" si="100"/>
        <v>0.75239068280335397</v>
      </c>
      <c r="Z75" s="47">
        <f t="shared" si="100"/>
        <v>0.50611929761705565</v>
      </c>
      <c r="AA75" s="47">
        <f t="shared" si="100"/>
        <v>0.63482422758325874</v>
      </c>
      <c r="AB75" s="47">
        <f t="shared" si="100"/>
        <v>0.70355023645539005</v>
      </c>
      <c r="AC75" s="47">
        <f t="shared" si="100"/>
        <v>0.33967428433676894</v>
      </c>
      <c r="AD75" s="30">
        <f t="shared" ref="AD75:AF75" si="125">IFERROR(AD18/$B61,0)</f>
        <v>2.9090909090909094E-10</v>
      </c>
      <c r="AE75" s="30">
        <f t="shared" si="125"/>
        <v>6.3709090909090908E-6</v>
      </c>
      <c r="AF75" s="30">
        <f t="shared" si="125"/>
        <v>2.9089580799548386E-10</v>
      </c>
      <c r="AG75" s="38">
        <f>IFERROR(up_RadSpec!$G$18*AG18,".")*$B$75</f>
        <v>171875</v>
      </c>
      <c r="AH75" s="38">
        <f>IFERROR(up_RadSpec!$J$18*AH18,".")*$B$75</f>
        <v>7.8481735159817356</v>
      </c>
      <c r="AI75" s="47">
        <f t="shared" si="102"/>
        <v>1</v>
      </c>
      <c r="AJ75" s="47">
        <f t="shared" si="102"/>
        <v>0.99960953550549536</v>
      </c>
      <c r="AK75" s="47">
        <f t="shared" si="103"/>
        <v>1</v>
      </c>
    </row>
    <row r="76" spans="1:37" x14ac:dyDescent="0.25">
      <c r="A76" s="29" t="s">
        <v>318</v>
      </c>
      <c r="B76" s="34">
        <v>1.339E-6</v>
      </c>
      <c r="C76" s="2"/>
      <c r="D76" s="30">
        <f>IFERROR(D27/$B62,0)</f>
        <v>5.4314617421413545E-2</v>
      </c>
      <c r="E76" s="30">
        <f>IFERROR(E27/$B62,0)</f>
        <v>67.401285205031513</v>
      </c>
      <c r="F76" s="30">
        <f>IFERROR(F27/$B62,0)</f>
        <v>43.901003530817384</v>
      </c>
      <c r="G76" s="30">
        <f t="shared" si="96"/>
        <v>5.4203876396038526E-2</v>
      </c>
      <c r="H76" s="38">
        <f>IFERROR(up_RadSpec!$I$27*H27,".")*$B$76</f>
        <v>9.2056250000000005E-4</v>
      </c>
      <c r="I76" s="38">
        <f>IFERROR(up_RadSpec!$G$27*I27,".")*$B$76</f>
        <v>7.4182561724012188E-7</v>
      </c>
      <c r="J76" s="38">
        <f>IFERROR(up_RadSpec!$F$27*J27,".")*$B$76</f>
        <v>1.13892612875925E-6</v>
      </c>
      <c r="K76" s="47">
        <f t="shared" si="97"/>
        <v>9.2056250000000005E-4</v>
      </c>
      <c r="L76" s="47">
        <f t="shared" si="97"/>
        <v>7.4182561724012188E-7</v>
      </c>
      <c r="M76" s="47">
        <f t="shared" si="97"/>
        <v>1.13892612875925E-6</v>
      </c>
      <c r="N76" s="47">
        <f t="shared" si="98"/>
        <v>9.2244325174599938E-4</v>
      </c>
      <c r="O76" s="30">
        <f t="shared" ref="O76:S76" si="126">IFERROR(O27/$B62,0)</f>
        <v>43.901003530817384</v>
      </c>
      <c r="P76" s="30">
        <f t="shared" si="126"/>
        <v>130.21786593580163</v>
      </c>
      <c r="Q76" s="30">
        <f t="shared" si="126"/>
        <v>79.833343734491137</v>
      </c>
      <c r="R76" s="30">
        <f t="shared" si="126"/>
        <v>58.075673411227257</v>
      </c>
      <c r="S76" s="30">
        <f t="shared" si="126"/>
        <v>407.31919794291832</v>
      </c>
      <c r="T76" s="38">
        <f>IFERROR(up_RadSpec!$F$27*T27,".")*$B$76</f>
        <v>1.13892612875925E-6</v>
      </c>
      <c r="U76" s="38">
        <f>IFERROR(up_RadSpec!$M$27*U27,".")*$B$76</f>
        <v>3.8397188926940628E-7</v>
      </c>
      <c r="V76" s="38">
        <f>IFERROR(up_RadSpec!$N$27*V27,".")*$B$76</f>
        <v>6.2630472007147106E-7</v>
      </c>
      <c r="W76" s="38">
        <f>IFERROR(up_RadSpec!$O$27*W27,".")*$B$76</f>
        <v>8.6094567764984291E-7</v>
      </c>
      <c r="X76" s="38">
        <f>IFERROR(up_RadSpec!$K$27*X27,".")*$B$76</f>
        <v>1.2275385067169607E-7</v>
      </c>
      <c r="Y76" s="47">
        <f t="shared" si="100"/>
        <v>1.13892612875925E-6</v>
      </c>
      <c r="Z76" s="47">
        <f t="shared" si="100"/>
        <v>3.8397188926940628E-7</v>
      </c>
      <c r="AA76" s="47">
        <f t="shared" si="100"/>
        <v>6.2630472007147106E-7</v>
      </c>
      <c r="AB76" s="47">
        <f t="shared" si="100"/>
        <v>8.6094567764984291E-7</v>
      </c>
      <c r="AC76" s="47">
        <f t="shared" si="100"/>
        <v>1.2275385067169607E-7</v>
      </c>
      <c r="AD76" s="30">
        <f t="shared" ref="AD76:AF76" si="127">IFERROR(AD27/$B62,0)</f>
        <v>2.1725846968565418E-4</v>
      </c>
      <c r="AE76" s="30">
        <f t="shared" si="127"/>
        <v>4.7579604861158256</v>
      </c>
      <c r="AF76" s="30">
        <f t="shared" si="127"/>
        <v>2.1724854966055553E-4</v>
      </c>
      <c r="AG76" s="38">
        <f>IFERROR(up_RadSpec!$G$27*AG27,".")*$B$76</f>
        <v>0.23014062500000002</v>
      </c>
      <c r="AH76" s="38">
        <f>IFERROR(up_RadSpec!$J$27*AH27,".")*$B$76</f>
        <v>1.0508704337899545E-5</v>
      </c>
      <c r="AI76" s="47">
        <f t="shared" si="102"/>
        <v>0.20557812092878014</v>
      </c>
      <c r="AJ76" s="47">
        <f t="shared" si="102"/>
        <v>1.0508704337899545E-5</v>
      </c>
      <c r="AK76" s="47">
        <f t="shared" si="103"/>
        <v>0.20558646922956181</v>
      </c>
    </row>
  </sheetData>
  <sheetProtection algorithmName="SHA-512" hashValue="zvTEMVwrvkZTIebgI5DQfO3QGvz76Zwvgag87xntrh3F3iJS6CC/Ht+ZtjkFdFr/mC60S2pXXWnBSKMlrI3tfw==" saltValue="1DGtlOrsGexZd0Dh+5dZig==" spinCount="100000" sheet="1" formatColumns="0" formatRows="0" autoFilter="0"/>
  <autoFilter ref="A1:AK76" xr:uid="{00000000-0009-0000-0000-00000D000000}"/>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9">
    <tabColor theme="9" tint="-0.499984740745262"/>
  </sheetPr>
  <dimension ref="A1:AV76"/>
  <sheetViews>
    <sheetView zoomScale="90" zoomScaleNormal="90" workbookViewId="0">
      <pane xSplit="2" ySplit="1" topLeftCell="C2" activePane="bottomRight" state="frozen"/>
      <selection pane="topRight" activeCell="C1" sqref="C1"/>
      <selection pane="bottomLeft" activeCell="A2" sqref="A2"/>
      <selection pane="bottomRight" activeCell="C2" sqref="C2"/>
    </sheetView>
  </sheetViews>
  <sheetFormatPr defaultColWidth="9.140625" defaultRowHeight="15" x14ac:dyDescent="0.25"/>
  <cols>
    <col min="1" max="1" width="15.42578125" style="3" customWidth="1"/>
    <col min="2" max="2" width="13.28515625" style="3" bestFit="1" customWidth="1"/>
    <col min="3" max="3" width="13.28515625" style="3" customWidth="1"/>
    <col min="4" max="4" width="14.42578125" style="2" bestFit="1" customWidth="1"/>
    <col min="5" max="5" width="14.5703125" style="2" bestFit="1" customWidth="1"/>
    <col min="6" max="6" width="14.28515625" style="2" bestFit="1" customWidth="1"/>
    <col min="7" max="9" width="14.140625" style="2" bestFit="1" customWidth="1"/>
    <col min="10" max="10" width="14" style="2" bestFit="1" customWidth="1"/>
    <col min="11" max="12" width="14.5703125" style="2" bestFit="1" customWidth="1"/>
    <col min="13" max="13" width="14.42578125" style="2" bestFit="1" customWidth="1"/>
    <col min="14" max="14" width="14.28515625" style="2" bestFit="1" customWidth="1"/>
    <col min="15" max="15" width="18.28515625" style="2" bestFit="1" customWidth="1"/>
    <col min="16" max="16" width="18.42578125" style="2" bestFit="1" customWidth="1"/>
    <col min="17" max="17" width="18.140625" style="2" bestFit="1" customWidth="1"/>
    <col min="18" max="18" width="17.85546875" style="2" bestFit="1" customWidth="1"/>
    <col min="19" max="21" width="17.7109375" style="2" bestFit="1" customWidth="1"/>
    <col min="22" max="24" width="18.28515625" style="2" bestFit="1" customWidth="1"/>
    <col min="25" max="25" width="18.140625" style="2" bestFit="1" customWidth="1"/>
    <col min="26" max="26" width="13.5703125" style="2" bestFit="1" customWidth="1"/>
    <col min="27" max="28" width="15.42578125" style="2" bestFit="1" customWidth="1"/>
    <col min="29" max="29" width="16.42578125" style="2" bestFit="1" customWidth="1"/>
    <col min="30" max="30" width="13.85546875" style="2" bestFit="1" customWidth="1"/>
    <col min="31" max="31" width="13.140625" style="2" bestFit="1" customWidth="1"/>
    <col min="32" max="33" width="14.85546875" style="2" bestFit="1" customWidth="1"/>
    <col min="34" max="34" width="16" style="2" bestFit="1" customWidth="1"/>
    <col min="35" max="36" width="13.5703125" style="2" bestFit="1" customWidth="1"/>
    <col min="37" max="38" width="15.42578125" style="2" bestFit="1" customWidth="1"/>
    <col min="39" max="39" width="16.42578125" style="2" bestFit="1" customWidth="1"/>
    <col min="40" max="40" width="14.140625" style="2" bestFit="1" customWidth="1"/>
    <col min="41" max="41" width="13.85546875" style="2" bestFit="1" customWidth="1"/>
    <col min="42" max="42" width="14.140625" style="2" bestFit="1" customWidth="1"/>
    <col min="43" max="43" width="13.28515625" style="2" bestFit="1" customWidth="1"/>
    <col min="44" max="44" width="13.42578125" style="2" bestFit="1" customWidth="1"/>
    <col min="45" max="45" width="13.85546875" style="2" bestFit="1" customWidth="1"/>
    <col min="46" max="46" width="14" style="2" bestFit="1" customWidth="1"/>
    <col min="47" max="47" width="14.28515625" style="2" bestFit="1" customWidth="1"/>
    <col min="48" max="48" width="13.7109375" style="2" bestFit="1" customWidth="1"/>
    <col min="49" max="16384" width="9.140625" style="2"/>
  </cols>
  <sheetData>
    <row r="1" spans="1:48" x14ac:dyDescent="0.25">
      <c r="A1" s="21" t="s">
        <v>51</v>
      </c>
      <c r="B1" s="21" t="s">
        <v>274</v>
      </c>
      <c r="C1" s="108"/>
      <c r="D1" s="22" t="s">
        <v>341</v>
      </c>
      <c r="E1" s="22" t="s">
        <v>342</v>
      </c>
      <c r="F1" s="22" t="s">
        <v>343</v>
      </c>
      <c r="G1" s="22" t="s">
        <v>344</v>
      </c>
      <c r="H1" s="39" t="s">
        <v>353</v>
      </c>
      <c r="I1" s="39" t="s">
        <v>354</v>
      </c>
      <c r="J1" s="39" t="s">
        <v>355</v>
      </c>
      <c r="K1" s="40" t="s">
        <v>356</v>
      </c>
      <c r="L1" s="40" t="s">
        <v>357</v>
      </c>
      <c r="M1" s="40" t="s">
        <v>358</v>
      </c>
      <c r="N1" s="40" t="s">
        <v>359</v>
      </c>
      <c r="O1" s="22" t="s">
        <v>360</v>
      </c>
      <c r="P1" s="22" t="s">
        <v>361</v>
      </c>
      <c r="Q1" s="22" t="s">
        <v>362</v>
      </c>
      <c r="R1" s="22" t="s">
        <v>363</v>
      </c>
      <c r="S1" s="39" t="s">
        <v>364</v>
      </c>
      <c r="T1" s="39" t="s">
        <v>365</v>
      </c>
      <c r="U1" s="39" t="s">
        <v>366</v>
      </c>
      <c r="V1" s="40" t="s">
        <v>367</v>
      </c>
      <c r="W1" s="40" t="s">
        <v>368</v>
      </c>
      <c r="X1" s="40" t="s">
        <v>369</v>
      </c>
      <c r="Y1" s="40" t="s">
        <v>370</v>
      </c>
      <c r="Z1" s="22" t="s">
        <v>345</v>
      </c>
      <c r="AA1" s="24" t="s">
        <v>346</v>
      </c>
      <c r="AB1" s="24" t="s">
        <v>347</v>
      </c>
      <c r="AC1" s="24" t="s">
        <v>348</v>
      </c>
      <c r="AD1" s="24" t="s">
        <v>349</v>
      </c>
      <c r="AE1" s="41" t="s">
        <v>371</v>
      </c>
      <c r="AF1" s="41" t="s">
        <v>372</v>
      </c>
      <c r="AG1" s="41" t="s">
        <v>373</v>
      </c>
      <c r="AH1" s="41" t="s">
        <v>374</v>
      </c>
      <c r="AI1" s="41" t="s">
        <v>375</v>
      </c>
      <c r="AJ1" s="42" t="s">
        <v>376</v>
      </c>
      <c r="AK1" s="42" t="s">
        <v>377</v>
      </c>
      <c r="AL1" s="42" t="s">
        <v>378</v>
      </c>
      <c r="AM1" s="42" t="s">
        <v>379</v>
      </c>
      <c r="AN1" s="42" t="s">
        <v>380</v>
      </c>
      <c r="AO1" s="24" t="s">
        <v>350</v>
      </c>
      <c r="AP1" s="24" t="s">
        <v>351</v>
      </c>
      <c r="AQ1" s="24" t="s">
        <v>352</v>
      </c>
      <c r="AR1" s="41" t="s">
        <v>381</v>
      </c>
      <c r="AS1" s="41" t="s">
        <v>382</v>
      </c>
      <c r="AT1" s="42" t="s">
        <v>383</v>
      </c>
      <c r="AU1" s="42" t="s">
        <v>384</v>
      </c>
      <c r="AV1" s="42" t="s">
        <v>385</v>
      </c>
    </row>
    <row r="2" spans="1:48" x14ac:dyDescent="0.25">
      <c r="A2" s="23" t="s">
        <v>12</v>
      </c>
      <c r="B2" s="24" t="s">
        <v>289</v>
      </c>
      <c r="C2" s="2"/>
      <c r="D2" s="22">
        <f>IFERROR((s_TR/(up_RadSpec!I2*s_EF_cw*s_ED_con*s_IRS_cw*(1/1000)))*1,".")</f>
        <v>1.0666666666666667E-6</v>
      </c>
      <c r="E2" s="22">
        <f>IFERROR(IF(A2="H-3",(s_TR/(up_RadSpec!G2*s_EF_cw*s_ED_con*s_ET_cw_o*(1/24)*s_IRA_cw*(1/17)*1000))*1,(s_TR/(up_RadSpec!G2*s_EF_cw*s_ED_con*s_ET_cw_o*(1/24)*s_IRA_cw*(1/s_PEFsc)*1000))*1),".")</f>
        <v>2.1694802535592709E-6</v>
      </c>
      <c r="F2" s="22">
        <f>IFERROR((s_TR/(up_RadSpec!F2*s_EF_cw*(1/365)*s_ED_con*up_RadSpec!Q2*s_ET_cw_o*(1/24)*up_RadSpec!V2))*1,".")</f>
        <v>2.4800240601503759E-3</v>
      </c>
      <c r="G2" s="22">
        <f t="shared" ref="G2:G30" si="0">(IF(AND(ISNUMBER(D2),ISNUMBER(E2),ISNUMBER(F2)),1/((1/D2)+(1/E2)+(1/F2)),IF(AND(ISNUMBER(D2),ISNUMBER(E2),NOT(ISNUMBER(F2))), 1/((1/D2)+(1/E2)),IF(AND(ISNUMBER(D2),NOT(ISNUMBER(E2)),ISNUMBER(F2)),1/((1/D2)+(1/F2)),IF(AND(NOT(ISNUMBER(D2)),ISNUMBER(E2),ISNUMBER(F2)),1/((1/E2)+(1/F2)),IF(AND(ISNUMBER(D2),NOT(ISNUMBER(E2)),NOT(ISNUMBER(F2))),1/((1/D2)),IF(AND(NOT(ISNUMBER(D2)),NOT(ISNUMBER(E2)),ISNUMBER(F2)),1/((1/F2)),IF(AND(NOT(ISNUMBER(D2)),ISNUMBER(E2),NOT(ISNUMBER(F2))),1/((1/E2)),IF(AND(NOT(ISNUMBER(D2)),NOT(ISNUMBER(E2)),NOT(ISNUMBER(F2))),".")))))))))</f>
        <v>7.1487644898475536E-7</v>
      </c>
      <c r="H2" s="43">
        <f t="shared" ref="H2:H30" si="1">s_C*s_EF_cw*s_ED_con*s_IRS_cw*(1/1000)*1</f>
        <v>9.375</v>
      </c>
      <c r="I2" s="43">
        <f t="shared" ref="I2:I30" si="2">s_C*s_EF_cw*s_ED_con*(s_ET_cw_i+s_ET_cw_o)*(1/24)*s_IRA_cw*(1/s_PEFsc)*1000*1</f>
        <v>4.6093989487085221</v>
      </c>
      <c r="J2" s="43">
        <f>s_C*s_EF_cw*(1/365)*s_ED_con*(s_ET_cw_i+s_ET_cw_o)*(1/24)*up_RadSpec!V2*up_RadSpec!Q2*1</f>
        <v>4.0322189452442854E-3</v>
      </c>
      <c r="K2" s="11"/>
      <c r="L2" s="11"/>
      <c r="M2" s="11"/>
      <c r="N2" s="11"/>
      <c r="O2" s="22">
        <f>IFERROR((s_TR/(up_RadSpec!I2*s_EF_cw*s_ED_con*s_IRS_cw*(1/1000)))*1,".")</f>
        <v>1.0666666666666667E-6</v>
      </c>
      <c r="P2" s="22">
        <f>IFERROR(IF(A2="H-3",(s_TR/(up_RadSpec!G2*s_EF_cw*s_ED_con*s_ET_cw_o*(1/24)*s_IRA_cw*(1/17)*1000))*1,(s_TR/(up_RadSpec!G2*s_EF_cw*s_ED_con*s_ET_cw_o*(1/24)*s_IRA_cw*(1/s_PEF__sc)*1000))*1),".")</f>
        <v>1.3644722035813288E-5</v>
      </c>
      <c r="Q2" s="22">
        <f>IFERROR((s_TR/(up_RadSpec!F2*s_EF_cw*(1/365)*s_ED_con*up_RadSpec!Q2*s_ET_cw_o*(1/24)*up_RadSpec!V2))*1,".")</f>
        <v>2.4800240601503759E-3</v>
      </c>
      <c r="R2" s="22">
        <f t="shared" ref="R2" si="3">(IF(AND(ISNUMBER(O2),ISNUMBER(P2),ISNUMBER(Q2)),1/((1/O2)+(1/P2)+(1/Q2)),IF(AND(ISNUMBER(O2),ISNUMBER(P2),NOT(ISNUMBER(Q2))), 1/((1/O2)+(1/P2)),IF(AND(ISNUMBER(O2),NOT(ISNUMBER(P2)),ISNUMBER(Q2)),1/((1/O2)+(1/Q2)),IF(AND(NOT(ISNUMBER(O2)),ISNUMBER(P2),ISNUMBER(Q2)),1/((1/P2)+(1/Q2)),IF(AND(ISNUMBER(O2),NOT(ISNUMBER(P2)),NOT(ISNUMBER(Q2))),1/((1/O2)),IF(AND(NOT(ISNUMBER(O2)),NOT(ISNUMBER(P2)),ISNUMBER(Q2)),1/((1/Q2)),IF(AND(NOT(ISNUMBER(O2)),ISNUMBER(P2),NOT(ISNUMBER(Q2))),1/((1/P2)),IF(AND(NOT(ISNUMBER(O2)),NOT(ISNUMBER(P2)),NOT(ISNUMBER(Q2))),".")))))))))</f>
        <v>9.8893223323737813E-7</v>
      </c>
      <c r="S2" s="43">
        <f t="shared" ref="S2:S30" si="4">s_C*s_EF_cw*s_ED_con*s_IRS_cw*(1/1000)*1</f>
        <v>9.375</v>
      </c>
      <c r="T2" s="43">
        <f t="shared" ref="T2:T30" si="5">s_C*s_EF_cw*s_ED_con*(s_ET_cw_i+s_ET_cw_o)*(1/24)*s_IRA_cw*(1/s_PEF__sc)*1000*1</f>
        <v>0.73288411253472296</v>
      </c>
      <c r="U2" s="43">
        <f>s_C*s_EF_cw*(1/365)*s_ED_con*(s_ET_cw_i+s_ET_cw_o)*(1/24)*up_RadSpec!V2*up_RadSpec!Q2*1</f>
        <v>4.0322189452442854E-3</v>
      </c>
      <c r="V2" s="11"/>
      <c r="W2" s="11"/>
      <c r="X2" s="11"/>
      <c r="Y2" s="22"/>
      <c r="Z2" s="22">
        <f>IFERROR((s_TR/(up_RadSpec!F2*s_EF_cw*(1/365)*s_ED_con*up_RadSpec!Q2*s_ET_cw_o*(1/24)*up_RadSpec!V2))*1,".")</f>
        <v>2.4800240601503759E-3</v>
      </c>
      <c r="AA2" s="22">
        <f>IFERROR((s_TR/(up_RadSpec!M2*s_EF_cw*(1/365)*s_ED_con*up_RadSpec!R2*s_ET_cw_o*(1/24)*up_RadSpec!W2))*1,".")</f>
        <v>5.014450261780103E-3</v>
      </c>
      <c r="AB2" s="22">
        <f>IFERROR((s_TR/(up_RadSpec!N2*s_EF_cw*(1/365)*s_ED_con*up_RadSpec!S2*s_ET_cw_o*(1/24)*up_RadSpec!X2))*1,".")</f>
        <v>3.4057570093457929E-3</v>
      </c>
      <c r="AC2" s="22">
        <f>IFERROR((s_TR/(up_RadSpec!O2*s_EF_cw*(1/365)*s_ED_con*up_RadSpec!T2*s_ET_cw_o*(1/24)*up_RadSpec!Y2))*1,".")</f>
        <v>2.830936819172113E-3</v>
      </c>
      <c r="AD2" s="22">
        <f>IFERROR((s_TR/(up_RadSpec!K2*s_EF_cw*(1/365)*s_ED_con*up_RadSpec!P2*s_ET_cw_o*(1/24)*up_RadSpec!U2))*1,".")</f>
        <v>3.9680945347119655E-2</v>
      </c>
      <c r="AE2" s="43">
        <f>s_C*s_EF_cw*(1/365)*s_ED_con*(s_ET_cw_i+s_ET_cw_o)*(1/24)*up_RadSpec!V2*up_RadSpec!Q2*1</f>
        <v>4.0322189452442854E-3</v>
      </c>
      <c r="AF2" s="43">
        <f>s_C*s_EF_cw*(1/365)*s_ED_con*(s_ET_cw_i+s_ET_cw_o)*(1/24)*up_RadSpec!W2*up_RadSpec!R2*1</f>
        <v>1.9942365519545614E-3</v>
      </c>
      <c r="AG2" s="43">
        <f>s_C*s_EF_cw*(1/365)*s_ED_con*(s_ET_cw_i+s_ET_cw_o)*(1/24)*up_RadSpec!X2*up_RadSpec!S2*1</f>
        <v>2.9362047769582031E-3</v>
      </c>
      <c r="AH2" s="43">
        <f>s_C*s_EF_cw*(1/365)*s_ED_con*(s_ET_cw_i+s_ET_cw_o)*(1/24)*up_RadSpec!Y2*up_RadSpec!T2*1</f>
        <v>3.5323995690318623E-3</v>
      </c>
      <c r="AI2" s="43">
        <f>s_C*s_EF_cw*(1/365)*s_ED_con*(s_ET_cw_i+s_ET_cw_o)*(1/24)*up_RadSpec!U2*up_RadSpec!P2*1</f>
        <v>2.5201012507444911E-4</v>
      </c>
      <c r="AJ2" s="11"/>
      <c r="AK2" s="11"/>
      <c r="AL2" s="11"/>
      <c r="AM2" s="11"/>
      <c r="AN2" s="11"/>
      <c r="AO2" s="22">
        <f>IFERROR(s_TR/(up_RadSpec!G2*s_EF_cw*s_ED_con*s_ET_cw_o*(1/24)*s_IRA_cw),".")</f>
        <v>4.2666666666666668E-9</v>
      </c>
      <c r="AP2" s="22">
        <f>IFERROR(s_TR/(up_RadSpec!J2*s_EF_cw*(1/365)*s_ED_con*s_ET_cw_o*(1/24)*s_GSF_a),".")</f>
        <v>9.344E-5</v>
      </c>
      <c r="AQ2" s="22">
        <f t="shared" ref="AQ2" si="6">IFERROR(IF(AND(ISNUMBER(AO2),ISNUMBER(AP2)),1/((1/AO2)+(1/AP2)),IF(AND(ISNUMBER(AO2),NOT(ISNUMBER(AP2))),1/((1/AO2)),IF(AND(NOT(ISNUMBER(AO2)),ISNUMBER(AP2)),1/((1/AP2)),IF(AND(NOT(ISNUMBER(AO2)),NOT(ISNUMBER(AP2))),".")))),".")</f>
        <v>4.2664718506004295E-9</v>
      </c>
      <c r="AR2" s="43">
        <f t="shared" ref="AR2:AR30" si="7">s_C*s_EF_cw*s_ED_con*(s_ET_cw_i+s_ET_cw_o)*(1/24)*s_IRA_cw*1</f>
        <v>2343.75</v>
      </c>
      <c r="AS2" s="43">
        <f t="shared" ref="AS2:AS30" si="8">s_C*s_EF_cw*(1/365)*s_ED_con*(s_ET_cw_i+s_ET_cw_o)*(1/24)*s_GSF_a*1</f>
        <v>0.10702054794520549</v>
      </c>
      <c r="AT2" s="11"/>
      <c r="AU2" s="11"/>
      <c r="AV2" s="11"/>
    </row>
    <row r="3" spans="1:48" x14ac:dyDescent="0.25">
      <c r="A3" s="25" t="s">
        <v>13</v>
      </c>
      <c r="B3" s="24" t="s">
        <v>275</v>
      </c>
      <c r="C3" s="2"/>
      <c r="D3" s="22">
        <f>IFERROR((s_TR/(up_RadSpec!I3*s_EF_cw*s_ED_con*s_IRS_cw*(1/1000)))*1,".")</f>
        <v>1.0666666666666667E-6</v>
      </c>
      <c r="E3" s="22">
        <f>IFERROR(IF(A3="H-3",(s_TR/(up_RadSpec!G3*s_EF_cw*s_ED_con*s_ET_cw_o*(1/24)*s_IRA_cw*(1/17)*1000))*1,(s_TR/(up_RadSpec!G3*s_EF_cw*s_ED_con*s_ET_cw_o*(1/24)*s_IRA_cw*(1/s_PEFsc)*1000))*1),".")</f>
        <v>2.1694802535592709E-6</v>
      </c>
      <c r="F3" s="22">
        <f>IFERROR((s_TR/(up_RadSpec!F3*s_EF_cw*(1/365)*s_ED_con*up_RadSpec!Q3*s_ET_cw_o*(1/24)*up_RadSpec!V3))*1,".")</f>
        <v>0.32537142857142876</v>
      </c>
      <c r="G3" s="22">
        <f t="shared" si="0"/>
        <v>7.150810027161104E-7</v>
      </c>
      <c r="H3" s="43">
        <f t="shared" si="1"/>
        <v>9.375</v>
      </c>
      <c r="I3" s="43">
        <f t="shared" si="2"/>
        <v>4.6093989487085221</v>
      </c>
      <c r="J3" s="43">
        <f>s_C*s_EF_cw*(1/365)*s_ED_con*(s_ET_cw_i+s_ET_cw_o)*(1/24)*up_RadSpec!V3*up_RadSpec!Q3*1</f>
        <v>3.0734106076571823E-5</v>
      </c>
      <c r="K3" s="4"/>
      <c r="L3" s="4"/>
      <c r="M3" s="4"/>
      <c r="N3" s="4"/>
      <c r="O3" s="22">
        <f>IFERROR((s_TR/(up_RadSpec!I3*s_EF_cw*s_ED_con*s_IRS_cw*(1/1000)))*1,".")</f>
        <v>1.0666666666666667E-6</v>
      </c>
      <c r="P3" s="22">
        <f>IFERROR(IF(A3="H-3",(s_TR/(up_RadSpec!G3*s_EF_cw*s_ED_con*s_ET_cw_o*(1/24)*s_IRA_cw*(1/17)*1000))*1,(s_TR/(up_RadSpec!G3*s_EF_cw*s_ED_con*s_ET_cw_o*(1/24)*s_IRA_cw*(1/s_PEF__sc)*1000))*1),".")</f>
        <v>1.3644722035813288E-5</v>
      </c>
      <c r="Q3" s="22">
        <f>IFERROR((s_TR/(up_RadSpec!F3*s_EF_cw*(1/365)*s_ED_con*up_RadSpec!Q3*s_ET_cw_o*(1/24)*up_RadSpec!V3))*1,".")</f>
        <v>0.32537142857142876</v>
      </c>
      <c r="R3" s="22">
        <f>(IF(AND(ISNUMBER(O3),ISNUMBER(P3),ISNUMBER(Q3)),1/((1/O3)+(1/P3)+(1/Q3)),IF(AND(ISNUMBER(O3),ISNUMBER(P3),NOT(ISNUMBER(Q3))), 1/((1/O3)+(1/P3)),IF(AND(ISNUMBER(O3),NOT(ISNUMBER(P3)),ISNUMBER(Q3)),1/((1/O3)+(1/Q3)),IF(AND(NOT(ISNUMBER(O3)),ISNUMBER(P3),ISNUMBER(Q3)),1/((1/P3)+(1/Q3)),IF(AND(ISNUMBER(O3),NOT(ISNUMBER(P3)),NOT(ISNUMBER(Q3))),1/((1/O3)),IF(AND(NOT(ISNUMBER(O3)),NOT(ISNUMBER(P3)),ISNUMBER(Q3)),1/((1/Q3)),IF(AND(NOT(ISNUMBER(O3)),ISNUMBER(P3),NOT(ISNUMBER(Q3))),1/((1/P3)),IF(AND(NOT(ISNUMBER(O3)),NOT(ISNUMBER(P3)),NOT(ISNUMBER(Q3))),".")))))))))</f>
        <v>9.8932372815975369E-7</v>
      </c>
      <c r="S3" s="43">
        <f t="shared" si="4"/>
        <v>9.375</v>
      </c>
      <c r="T3" s="43">
        <f t="shared" si="5"/>
        <v>0.73288411253472296</v>
      </c>
      <c r="U3" s="43">
        <f>s_C*s_EF_cw*(1/365)*s_ED_con*(s_ET_cw_i+s_ET_cw_o)*(1/24)*up_RadSpec!V3*up_RadSpec!Q3*1</f>
        <v>3.0734106076571823E-5</v>
      </c>
      <c r="V3" s="11"/>
      <c r="W3" s="11"/>
      <c r="X3" s="11"/>
      <c r="Y3" s="11"/>
      <c r="Z3" s="22">
        <f>IFERROR((s_TR/(up_RadSpec!F3*s_EF_cw*(1/365)*s_ED_con*up_RadSpec!Q3*s_ET_cw_o*(1/24)*up_RadSpec!V3))*1,".")</f>
        <v>0.32537142857142876</v>
      </c>
      <c r="AA3" s="22">
        <f>IFERROR((s_TR/(up_RadSpec!M3*s_EF_cw*(1/365)*s_ED_con*up_RadSpec!R3*s_ET_cw_o*(1/24)*up_RadSpec!W3))*1,".")</f>
        <v>0.45622390194075596</v>
      </c>
      <c r="AB3" s="22">
        <f>IFERROR((s_TR/(up_RadSpec!N3*s_EF_cw*(1/365)*s_ED_con*up_RadSpec!S3*s_ET_cw_o*(1/24)*up_RadSpec!X3))*1,".")</f>
        <v>0.34588287292817682</v>
      </c>
      <c r="AC3" s="22">
        <f>IFERROR((s_TR/(up_RadSpec!O3*s_EF_cw*(1/365)*s_ED_con*up_RadSpec!T3*s_ET_cw_o*(1/24)*up_RadSpec!Y3))*1,".")</f>
        <v>0.35654202520643186</v>
      </c>
      <c r="AD3" s="22">
        <f>IFERROR((s_TR/(up_RadSpec!K3*s_EF_cw*(1/365)*s_ED_con*up_RadSpec!P3*s_ET_cw_o*(1/24)*up_RadSpec!U3))*1,".")</f>
        <v>0.70734671963921436</v>
      </c>
      <c r="AE3" s="43">
        <f>s_C*s_EF_cw*(1/365)*s_ED_con*(s_ET_cw_i+s_ET_cw_o)*(1/24)*up_RadSpec!V3*up_RadSpec!Q3*1</f>
        <v>3.0734106076571823E-5</v>
      </c>
      <c r="AF3" s="43">
        <f>s_C*s_EF_cw*(1/365)*s_ED_con*(s_ET_cw_i+s_ET_cw_o)*(1/24)*up_RadSpec!W3*up_RadSpec!R3*1</f>
        <v>2.1919062016392501E-5</v>
      </c>
      <c r="AG3" s="43">
        <f>s_C*s_EF_cw*(1/365)*s_ED_con*(s_ET_cw_i+s_ET_cw_o)*(1/24)*up_RadSpec!X3*up_RadSpec!S3*1</f>
        <v>2.8911521161316707E-5</v>
      </c>
      <c r="AH3" s="43">
        <f>s_C*s_EF_cw*(1/365)*s_ED_con*(s_ET_cw_i+s_ET_cw_o)*(1/24)*up_RadSpec!Y3*up_RadSpec!T3*1</f>
        <v>2.8047184603863091E-5</v>
      </c>
      <c r="AI3" s="43">
        <f>s_C*s_EF_cw*(1/365)*s_ED_con*(s_ET_cw_i+s_ET_cw_o)*(1/24)*up_RadSpec!U3*up_RadSpec!P3*1</f>
        <v>1.4137338482463807E-5</v>
      </c>
      <c r="AJ3" s="11"/>
      <c r="AK3" s="11"/>
      <c r="AL3" s="11"/>
      <c r="AM3" s="11"/>
      <c r="AN3" s="11"/>
      <c r="AO3" s="22">
        <f>IFERROR(s_TR/(up_RadSpec!G3*s_EF_cw*s_ED_con*s_ET_cw_o*(1/24)*s_IRA_cw),".")</f>
        <v>4.2666666666666668E-9</v>
      </c>
      <c r="AP3" s="22">
        <f>IFERROR(s_TR/(up_RadSpec!J3*s_EF_cw*(1/365)*s_ED_con*s_ET_cw_o*(1/24)*s_GSF_a),".")</f>
        <v>9.344E-5</v>
      </c>
      <c r="AQ3" s="22">
        <f>IFERROR(IF(AND(ISNUMBER(AO3),ISNUMBER(AP3)),1/((1/AO3)+(1/AP3)),IF(AND(ISNUMBER(AO3),NOT(ISNUMBER(AP3))),1/((1/AO3)),IF(AND(NOT(ISNUMBER(AO3)),ISNUMBER(AP3)),1/((1/AP3)),IF(AND(NOT(ISNUMBER(AO3)),NOT(ISNUMBER(AP3))),".")))),".")</f>
        <v>4.2664718506004295E-9</v>
      </c>
      <c r="AR3" s="43">
        <f t="shared" si="7"/>
        <v>2343.75</v>
      </c>
      <c r="AS3" s="43">
        <f t="shared" si="8"/>
        <v>0.10702054794520549</v>
      </c>
      <c r="AT3" s="10"/>
      <c r="AU3" s="10"/>
      <c r="AV3" s="10"/>
    </row>
    <row r="4" spans="1:48" x14ac:dyDescent="0.25">
      <c r="A4" s="23" t="s">
        <v>14</v>
      </c>
      <c r="B4" s="24" t="s">
        <v>289</v>
      </c>
      <c r="C4" s="2"/>
      <c r="D4" s="22">
        <f>IFERROR((s_TR/(up_RadSpec!I4*s_EF_cw*s_ED_con*s_IRS_cw*(1/1000)))*1,".")</f>
        <v>1.0666666666666667E-6</v>
      </c>
      <c r="E4" s="22">
        <f>IFERROR(IF(A4="H-3",(s_TR/(up_RadSpec!G4*s_EF_cw*s_ED_con*s_ET_cw_o*(1/24)*s_IRA_cw*(1/17)*1000))*1,(s_TR/(up_RadSpec!G4*s_EF_cw*s_ED_con*s_ET_cw_o*(1/24)*s_IRA_cw*(1/s_PEFsc)*1000))*1),".")</f>
        <v>2.1694802535592709E-6</v>
      </c>
      <c r="F4" s="22">
        <f>IFERROR((s_TR/(up_RadSpec!F4*s_EF_cw*(1/365)*s_ED_con*up_RadSpec!Q4*s_ET_cw_o*(1/24)*up_RadSpec!V4))*1,".")</f>
        <v>1.2112592592592594E-3</v>
      </c>
      <c r="G4" s="22">
        <f t="shared" si="0"/>
        <v>7.1466066511041048E-7</v>
      </c>
      <c r="H4" s="43">
        <f t="shared" si="1"/>
        <v>9.375</v>
      </c>
      <c r="I4" s="43">
        <f t="shared" si="2"/>
        <v>4.6093989487085221</v>
      </c>
      <c r="J4" s="43">
        <f>s_C*s_EF_cw*(1/365)*s_ED_con*(s_ET_cw_i+s_ET_cw_o)*(1/24)*up_RadSpec!V4*up_RadSpec!Q4*1</f>
        <v>8.2558708414872794E-3</v>
      </c>
      <c r="K4" s="4"/>
      <c r="L4" s="4"/>
      <c r="M4" s="4"/>
      <c r="N4" s="4"/>
      <c r="O4" s="22">
        <f>IFERROR((s_TR/(up_RadSpec!I4*s_EF_cw*s_ED_con*s_IRS_cw*(1/1000)))*1,".")</f>
        <v>1.0666666666666667E-6</v>
      </c>
      <c r="P4" s="22">
        <f>IFERROR(IF(A4="H-3",(s_TR/(up_RadSpec!G4*s_EF_cw*s_ED_con*s_ET_cw_o*(1/24)*s_IRA_cw*(1/17)*1000))*1,(s_TR/(up_RadSpec!G4*s_EF_cw*s_ED_con*s_ET_cw_o*(1/24)*s_IRA_cw*(1/s_PEF__sc)*1000))*1),".")</f>
        <v>1.3644722035813288E-5</v>
      </c>
      <c r="Q4" s="22">
        <f>IFERROR((s_TR/(up_RadSpec!F4*s_EF_cw*(1/365)*s_ED_con*up_RadSpec!Q4*s_ET_cw_o*(1/24)*up_RadSpec!V4))*1,".")</f>
        <v>1.2112592592592594E-3</v>
      </c>
      <c r="R4" s="22">
        <f t="shared" ref="R4:R30" si="9">(IF(AND(ISNUMBER(O4),ISNUMBER(P4),ISNUMBER(Q4)),1/((1/O4)+(1/P4)+(1/Q4)),IF(AND(ISNUMBER(O4),ISNUMBER(P4),NOT(ISNUMBER(Q4))), 1/((1/O4)+(1/P4)),IF(AND(ISNUMBER(O4),NOT(ISNUMBER(P4)),ISNUMBER(Q4)),1/((1/O4)+(1/Q4)),IF(AND(NOT(ISNUMBER(O4)),ISNUMBER(P4),ISNUMBER(Q4)),1/((1/P4)+(1/Q4)),IF(AND(ISNUMBER(O4),NOT(ISNUMBER(P4)),NOT(ISNUMBER(Q4))),1/((1/O4)),IF(AND(NOT(ISNUMBER(O4)),NOT(ISNUMBER(P4)),ISNUMBER(Q4)),1/((1/Q4)),IF(AND(NOT(ISNUMBER(O4)),ISNUMBER(P4),NOT(ISNUMBER(Q4))),1/((1/P4)),IF(AND(NOT(ISNUMBER(O4)),NOT(ISNUMBER(P4)),NOT(ISNUMBER(Q4))),".")))))))))</f>
        <v>9.8851933805116735E-7</v>
      </c>
      <c r="S4" s="43">
        <f t="shared" si="4"/>
        <v>9.375</v>
      </c>
      <c r="T4" s="43">
        <f t="shared" si="5"/>
        <v>0.73288411253472296</v>
      </c>
      <c r="U4" s="43">
        <f>s_C*s_EF_cw*(1/365)*s_ED_con*(s_ET_cw_i+s_ET_cw_o)*(1/24)*up_RadSpec!V4*up_RadSpec!Q4*1</f>
        <v>8.2558708414872794E-3</v>
      </c>
      <c r="V4" s="11"/>
      <c r="W4" s="11"/>
      <c r="X4" s="11"/>
      <c r="Y4" s="11"/>
      <c r="Z4" s="22">
        <f>IFERROR((s_TR/(up_RadSpec!F4*s_EF_cw*(1/365)*s_ED_con*up_RadSpec!Q4*s_ET_cw_o*(1/24)*up_RadSpec!V4))*1,".")</f>
        <v>1.2112592592592594E-3</v>
      </c>
      <c r="AA4" s="22">
        <f>IFERROR((s_TR/(up_RadSpec!M4*s_EF_cw*(1/365)*s_ED_con*up_RadSpec!R4*s_ET_cw_o*(1/24)*up_RadSpec!W4))*1,".")</f>
        <v>1.9766153846153848E-3</v>
      </c>
      <c r="AB4" s="22">
        <f>IFERROR((s_TR/(up_RadSpec!N4*s_EF_cw*(1/365)*s_ED_con*up_RadSpec!S4*s_ET_cw_o*(1/24)*up_RadSpec!X4))*1,".")</f>
        <v>1.4219130434782606E-3</v>
      </c>
      <c r="AC4" s="22">
        <f>IFERROR((s_TR/(up_RadSpec!O4*s_EF_cw*(1/365)*s_ED_con*up_RadSpec!T4*s_ET_cw_o*(1/24)*up_RadSpec!Y4))*1,".")</f>
        <v>1.2377701096541677E-3</v>
      </c>
      <c r="AD4" s="22">
        <f>IFERROR((s_TR/(up_RadSpec!K4*s_EF_cw*(1/365)*s_ED_con*up_RadSpec!P4*s_ET_cw_o*(1/24)*up_RadSpec!U4))*1,".")</f>
        <v>3.6503374942209879E-3</v>
      </c>
      <c r="AE4" s="43">
        <f>s_C*s_EF_cw*(1/365)*s_ED_con*(s_ET_cw_i+s_ET_cw_o)*(1/24)*up_RadSpec!V4*up_RadSpec!Q4*1</f>
        <v>8.2558708414872794E-3</v>
      </c>
      <c r="AF4" s="43">
        <f>s_C*s_EF_cw*(1/365)*s_ED_con*(s_ET_cw_i+s_ET_cw_o)*(1/24)*up_RadSpec!W4*up_RadSpec!R4*1</f>
        <v>5.0591531755915312E-3</v>
      </c>
      <c r="AG4" s="43">
        <f>s_C*s_EF_cw*(1/365)*s_ED_con*(s_ET_cw_i+s_ET_cw_o)*(1/24)*up_RadSpec!X4*up_RadSpec!S4*1</f>
        <v>7.0327788649706489E-3</v>
      </c>
      <c r="AH4" s="43">
        <f>s_C*s_EF_cw*(1/365)*s_ED_con*(s_ET_cw_i+s_ET_cw_o)*(1/24)*up_RadSpec!Y4*up_RadSpec!T4*1</f>
        <v>8.0790446642745282E-3</v>
      </c>
      <c r="AI4" s="43">
        <f>s_C*s_EF_cw*(1/365)*s_ED_con*(s_ET_cw_i+s_ET_cw_o)*(1/24)*up_RadSpec!U4*up_RadSpec!P4*1</f>
        <v>2.739472724325202E-3</v>
      </c>
      <c r="AJ4" s="11"/>
      <c r="AK4" s="11"/>
      <c r="AL4" s="11"/>
      <c r="AM4" s="11"/>
      <c r="AN4" s="11"/>
      <c r="AO4" s="22">
        <f>IFERROR(s_TR/(up_RadSpec!G4*s_EF_cw*s_ED_con*s_ET_cw_o*(1/24)*s_IRA_cw),".")</f>
        <v>4.2666666666666668E-9</v>
      </c>
      <c r="AP4" s="22">
        <f>IFERROR(s_TR/(up_RadSpec!J4*s_EF_cw*(1/365)*s_ED_con*s_ET_cw_o*(1/24)*s_GSF_a),".")</f>
        <v>9.344E-5</v>
      </c>
      <c r="AQ4" s="22">
        <f t="shared" ref="AQ4:AQ30" si="10">IFERROR(IF(AND(ISNUMBER(AO4),ISNUMBER(AP4)),1/((1/AO4)+(1/AP4)),IF(AND(ISNUMBER(AO4),NOT(ISNUMBER(AP4))),1/((1/AO4)),IF(AND(NOT(ISNUMBER(AO4)),ISNUMBER(AP4)),1/((1/AP4)),IF(AND(NOT(ISNUMBER(AO4)),NOT(ISNUMBER(AP4))),".")))),".")</f>
        <v>4.2664718506004295E-9</v>
      </c>
      <c r="AR4" s="43">
        <f t="shared" si="7"/>
        <v>2343.75</v>
      </c>
      <c r="AS4" s="43">
        <f t="shared" si="8"/>
        <v>0.10702054794520549</v>
      </c>
      <c r="AT4" s="10"/>
      <c r="AU4" s="10"/>
      <c r="AV4" s="10"/>
    </row>
    <row r="5" spans="1:48" x14ac:dyDescent="0.25">
      <c r="A5" s="23" t="s">
        <v>15</v>
      </c>
      <c r="B5" s="24" t="s">
        <v>289</v>
      </c>
      <c r="C5" s="109"/>
      <c r="D5" s="22">
        <f>IFERROR((s_TR/(up_RadSpec!I5*s_EF_cw*s_ED_con*s_IRS_cw*(1/1000)))*1,".")</f>
        <v>1.0666666666666667E-6</v>
      </c>
      <c r="E5" s="22">
        <f>IFERROR(IF(A5="H-3",(s_TR/(up_RadSpec!G5*s_EF_cw*s_ED_con*s_ET_cw_o*(1/24)*s_IRA_cw*(1/17)*1000))*1,(s_TR/(up_RadSpec!G5*s_EF_cw*s_ED_con*s_ET_cw_o*(1/24)*s_IRA_cw*(1/s_PEFsc)*1000))*1),".")</f>
        <v>2.1694802535592709E-6</v>
      </c>
      <c r="F5" s="22" t="str">
        <f>IFERROR((s_TR/(up_RadSpec!F5*s_EF_cw*(1/365)*s_ED_con*up_RadSpec!Q5*s_ET_cw_o*(1/24)*up_RadSpec!V5))*1,".")</f>
        <v>.</v>
      </c>
      <c r="G5" s="22">
        <f t="shared" si="0"/>
        <v>7.1508257427992738E-7</v>
      </c>
      <c r="H5" s="43">
        <f t="shared" si="1"/>
        <v>9.375</v>
      </c>
      <c r="I5" s="43">
        <f t="shared" si="2"/>
        <v>4.6093989487085221</v>
      </c>
      <c r="J5" s="43">
        <f>s_C*s_EF_cw*(1/365)*s_ED_con*(s_ET_cw_i+s_ET_cw_o)*(1/24)*up_RadSpec!V5*up_RadSpec!Q5*1</f>
        <v>0</v>
      </c>
      <c r="K5" s="4"/>
      <c r="L5" s="4"/>
      <c r="M5" s="4"/>
      <c r="N5" s="4"/>
      <c r="O5" s="22">
        <f>IFERROR((s_TR/(up_RadSpec!I5*s_EF_cw*s_ED_con*s_IRS_cw*(1/1000)))*1,".")</f>
        <v>1.0666666666666667E-6</v>
      </c>
      <c r="P5" s="22">
        <f>IFERROR(IF(A5="H-3",(s_TR/(up_RadSpec!G5*s_EF_cw*s_ED_con*s_ET_cw_o*(1/24)*s_IRA_cw*(1/17)*1000))*1,(s_TR/(up_RadSpec!G5*s_EF_cw*s_ED_con*s_ET_cw_o*(1/24)*s_IRA_cw*(1/s_PEF__sc)*1000))*1),".")</f>
        <v>1.3644722035813288E-5</v>
      </c>
      <c r="Q5" s="22" t="str">
        <f>IFERROR((s_TR/(up_RadSpec!F5*s_EF_cw*(1/365)*s_ED_con*up_RadSpec!Q5*s_ET_cw_o*(1/24)*up_RadSpec!V5))*1,".")</f>
        <v>.</v>
      </c>
      <c r="R5" s="22">
        <f t="shared" si="9"/>
        <v>9.893267363046894E-7</v>
      </c>
      <c r="S5" s="43">
        <f t="shared" si="4"/>
        <v>9.375</v>
      </c>
      <c r="T5" s="43">
        <f t="shared" si="5"/>
        <v>0.73288411253472296</v>
      </c>
      <c r="U5" s="43">
        <f>s_C*s_EF_cw*(1/365)*s_ED_con*(s_ET_cw_i+s_ET_cw_o)*(1/24)*up_RadSpec!V5*up_RadSpec!Q5*1</f>
        <v>0</v>
      </c>
      <c r="V5" s="11"/>
      <c r="W5" s="11"/>
      <c r="X5" s="11"/>
      <c r="Y5" s="11"/>
      <c r="Z5" s="22" t="str">
        <f>IFERROR((s_TR/(up_RadSpec!F5*s_EF_cw*(1/365)*s_ED_con*up_RadSpec!Q5*s_ET_cw_o*(1/24)*up_RadSpec!V5))*1,".")</f>
        <v>.</v>
      </c>
      <c r="AA5" s="22" t="str">
        <f>IFERROR((s_TR/(up_RadSpec!M5*s_EF_cw*(1/365)*s_ED_con*up_RadSpec!R5*s_ET_cw_o*(1/24)*up_RadSpec!W5))*1,".")</f>
        <v>.</v>
      </c>
      <c r="AB5" s="22" t="str">
        <f>IFERROR((s_TR/(up_RadSpec!N5*s_EF_cw*(1/365)*s_ED_con*up_RadSpec!S5*s_ET_cw_o*(1/24)*up_RadSpec!X5))*1,".")</f>
        <v>.</v>
      </c>
      <c r="AC5" s="22" t="str">
        <f>IFERROR((s_TR/(up_RadSpec!O5*s_EF_cw*(1/365)*s_ED_con*up_RadSpec!T5*s_ET_cw_o*(1/24)*up_RadSpec!Y5))*1,".")</f>
        <v>.</v>
      </c>
      <c r="AD5" s="22" t="str">
        <f>IFERROR((s_TR/(up_RadSpec!K5*s_EF_cw*(1/365)*s_ED_con*up_RadSpec!P5*s_ET_cw_o*(1/24)*up_RadSpec!U5))*1,".")</f>
        <v>.</v>
      </c>
      <c r="AE5" s="43">
        <f>s_C*s_EF_cw*(1/365)*s_ED_con*(s_ET_cw_i+s_ET_cw_o)*(1/24)*up_RadSpec!V5*up_RadSpec!Q5*1</f>
        <v>0</v>
      </c>
      <c r="AF5" s="43">
        <f>s_C*s_EF_cw*(1/365)*s_ED_con*(s_ET_cw_i+s_ET_cw_o)*(1/24)*up_RadSpec!W5*up_RadSpec!R5*1</f>
        <v>0</v>
      </c>
      <c r="AG5" s="43">
        <f>s_C*s_EF_cw*(1/365)*s_ED_con*(s_ET_cw_i+s_ET_cw_o)*(1/24)*up_RadSpec!X5*up_RadSpec!S5*1</f>
        <v>0</v>
      </c>
      <c r="AH5" s="43">
        <f>s_C*s_EF_cw*(1/365)*s_ED_con*(s_ET_cw_i+s_ET_cw_o)*(1/24)*up_RadSpec!Y5*up_RadSpec!T5*1</f>
        <v>0</v>
      </c>
      <c r="AI5" s="43">
        <f>s_C*s_EF_cw*(1/365)*s_ED_con*(s_ET_cw_i+s_ET_cw_o)*(1/24)*up_RadSpec!U5*up_RadSpec!P5*1</f>
        <v>0</v>
      </c>
      <c r="AJ5" s="11"/>
      <c r="AK5" s="11"/>
      <c r="AL5" s="11"/>
      <c r="AM5" s="11"/>
      <c r="AN5" s="11"/>
      <c r="AO5" s="22">
        <f>IFERROR(s_TR/(up_RadSpec!G5*s_EF_cw*s_ED_con*s_ET_cw_o*(1/24)*s_IRA_cw),".")</f>
        <v>4.2666666666666668E-9</v>
      </c>
      <c r="AP5" s="22">
        <f>IFERROR(s_TR/(up_RadSpec!J5*s_EF_cw*(1/365)*s_ED_con*s_ET_cw_o*(1/24)*s_GSF_a),".")</f>
        <v>9.344E-5</v>
      </c>
      <c r="AQ5" s="22">
        <f t="shared" si="10"/>
        <v>4.2664718506004295E-9</v>
      </c>
      <c r="AR5" s="43">
        <f t="shared" si="7"/>
        <v>2343.75</v>
      </c>
      <c r="AS5" s="43">
        <f t="shared" si="8"/>
        <v>0.10702054794520549</v>
      </c>
      <c r="AT5" s="10"/>
      <c r="AU5" s="10"/>
      <c r="AV5" s="10"/>
    </row>
    <row r="6" spans="1:48" x14ac:dyDescent="0.25">
      <c r="A6" s="23" t="s">
        <v>16</v>
      </c>
      <c r="B6" s="24" t="s">
        <v>289</v>
      </c>
      <c r="C6" s="2"/>
      <c r="D6" s="22">
        <f>IFERROR((s_TR/(up_RadSpec!I6*s_EF_cw*s_ED_con*s_IRS_cw*(1/1000)))*1,".")</f>
        <v>1.0666666666666667E-6</v>
      </c>
      <c r="E6" s="22">
        <f>IFERROR(IF(A6="H-3",(s_TR/(up_RadSpec!G6*s_EF_cw*s_ED_con*s_ET_cw_o*(1/24)*s_IRA_cw*(1/17)*1000))*1,(s_TR/(up_RadSpec!G6*s_EF_cw*s_ED_con*s_ET_cw_o*(1/24)*s_IRA_cw*(1/s_PEFsc)*1000))*1),".")</f>
        <v>2.1694802535592709E-6</v>
      </c>
      <c r="F6" s="22">
        <f>IFERROR((s_TR/(up_RadSpec!F6*s_EF_cw*(1/365)*s_ED_con*up_RadSpec!Q6*s_ET_cw_o*(1/24)*up_RadSpec!V6))*1,".")</f>
        <v>6.2255202938129737E-4</v>
      </c>
      <c r="G6" s="22">
        <f t="shared" si="0"/>
        <v>7.1426215061528961E-7</v>
      </c>
      <c r="H6" s="43">
        <f t="shared" si="1"/>
        <v>9.375</v>
      </c>
      <c r="I6" s="43">
        <f t="shared" si="2"/>
        <v>4.6093989487085221</v>
      </c>
      <c r="J6" s="43">
        <f>s_C*s_EF_cw*(1/365)*s_ED_con*(s_ET_cw_i+s_ET_cw_o)*(1/24)*up_RadSpec!V6*up_RadSpec!Q6*1</f>
        <v>1.60629144682705E-2</v>
      </c>
      <c r="K6" s="4"/>
      <c r="L6" s="4"/>
      <c r="M6" s="4"/>
      <c r="N6" s="4"/>
      <c r="O6" s="22">
        <f>IFERROR((s_TR/(up_RadSpec!I6*s_EF_cw*s_ED_con*s_IRS_cw*(1/1000)))*1,".")</f>
        <v>1.0666666666666667E-6</v>
      </c>
      <c r="P6" s="22">
        <f>IFERROR(IF(A6="H-3",(s_TR/(up_RadSpec!G6*s_EF_cw*s_ED_con*s_ET_cw_o*(1/24)*s_IRA_cw*(1/17)*1000))*1,(s_TR/(up_RadSpec!G6*s_EF_cw*s_ED_con*s_ET_cw_o*(1/24)*s_IRA_cw*(1/s_PEF__sc)*1000))*1),".")</f>
        <v>1.3644722035813288E-5</v>
      </c>
      <c r="Q6" s="22">
        <f>IFERROR((s_TR/(up_RadSpec!F6*s_EF_cw*(1/365)*s_ED_con*up_RadSpec!Q6*s_ET_cw_o*(1/24)*up_RadSpec!V6))*1,".")</f>
        <v>6.2255202938129737E-4</v>
      </c>
      <c r="R6" s="22">
        <f t="shared" si="9"/>
        <v>9.8775704508603253E-7</v>
      </c>
      <c r="S6" s="43">
        <f t="shared" si="4"/>
        <v>9.375</v>
      </c>
      <c r="T6" s="43">
        <f t="shared" si="5"/>
        <v>0.73288411253472296</v>
      </c>
      <c r="U6" s="43">
        <f>s_C*s_EF_cw*(1/365)*s_ED_con*(s_ET_cw_i+s_ET_cw_o)*(1/24)*up_RadSpec!V6*up_RadSpec!Q6*1</f>
        <v>1.60629144682705E-2</v>
      </c>
      <c r="V6" s="11"/>
      <c r="W6" s="11"/>
      <c r="X6" s="11"/>
      <c r="Y6" s="11"/>
      <c r="Z6" s="22">
        <f>IFERROR((s_TR/(up_RadSpec!F6*s_EF_cw*(1/365)*s_ED_con*up_RadSpec!Q6*s_ET_cw_o*(1/24)*up_RadSpec!V6))*1,".")</f>
        <v>6.2255202938129737E-4</v>
      </c>
      <c r="AA6" s="22">
        <f>IFERROR((s_TR/(up_RadSpec!M6*s_EF_cw*(1/365)*s_ED_con*up_RadSpec!R6*s_ET_cw_o*(1/24)*up_RadSpec!W6))*1,".")</f>
        <v>1.1622012019858897E-3</v>
      </c>
      <c r="AB6" s="22">
        <f>IFERROR((s_TR/(up_RadSpec!N6*s_EF_cw*(1/365)*s_ED_con*up_RadSpec!S6*s_ET_cw_o*(1/24)*up_RadSpec!X6))*1,".")</f>
        <v>8.2128307357738346E-4</v>
      </c>
      <c r="AC6" s="22">
        <f>IFERROR((s_TR/(up_RadSpec!O6*s_EF_cw*(1/365)*s_ED_con*up_RadSpec!T6*s_ET_cw_o*(1/24)*up_RadSpec!Y6))*1,".")</f>
        <v>6.7917037037037011E-4</v>
      </c>
      <c r="AD6" s="22">
        <f>IFERROR((s_TR/(up_RadSpec!K6*s_EF_cw*(1/365)*s_ED_con*up_RadSpec!P6*s_ET_cw_o*(1/24)*up_RadSpec!U6))*1,".")</f>
        <v>1.9522127255460599E-3</v>
      </c>
      <c r="AE6" s="43">
        <f>s_C*s_EF_cw*(1/365)*s_ED_con*(s_ET_cw_i+s_ET_cw_o)*(1/24)*up_RadSpec!V6*up_RadSpec!Q6*1</f>
        <v>1.60629144682705E-2</v>
      </c>
      <c r="AF6" s="43">
        <f>s_C*s_EF_cw*(1/365)*s_ED_con*(s_ET_cw_i+s_ET_cw_o)*(1/24)*up_RadSpec!W6*up_RadSpec!R6*1</f>
        <v>8.6043621215609548E-3</v>
      </c>
      <c r="AG6" s="43">
        <f>s_C*s_EF_cw*(1/365)*s_ED_con*(s_ET_cw_i+s_ET_cw_o)*(1/24)*up_RadSpec!X6*up_RadSpec!S6*1</f>
        <v>1.2176069764157603E-2</v>
      </c>
      <c r="AH6" s="43">
        <f>s_C*s_EF_cw*(1/365)*s_ED_con*(s_ET_cw_i+s_ET_cw_o)*(1/24)*up_RadSpec!Y6*up_RadSpec!T6*1</f>
        <v>1.4723846086728914E-2</v>
      </c>
      <c r="AI6" s="43">
        <f>s_C*s_EF_cw*(1/365)*s_ED_con*(s_ET_cw_i+s_ET_cw_o)*(1/24)*up_RadSpec!U6*up_RadSpec!P6*1</f>
        <v>5.1223925902864247E-3</v>
      </c>
      <c r="AJ6" s="11"/>
      <c r="AK6" s="11"/>
      <c r="AL6" s="11"/>
      <c r="AM6" s="11"/>
      <c r="AN6" s="11"/>
      <c r="AO6" s="22">
        <f>IFERROR(s_TR/(up_RadSpec!G6*s_EF_cw*s_ED_con*s_ET_cw_o*(1/24)*s_IRA_cw),".")</f>
        <v>4.2666666666666668E-9</v>
      </c>
      <c r="AP6" s="22">
        <f>IFERROR(s_TR/(up_RadSpec!J6*s_EF_cw*(1/365)*s_ED_con*s_ET_cw_o*(1/24)*s_GSF_a),".")</f>
        <v>9.344E-5</v>
      </c>
      <c r="AQ6" s="22">
        <f t="shared" si="10"/>
        <v>4.2664718506004295E-9</v>
      </c>
      <c r="AR6" s="43">
        <f t="shared" si="7"/>
        <v>2343.75</v>
      </c>
      <c r="AS6" s="43">
        <f t="shared" si="8"/>
        <v>0.10702054794520549</v>
      </c>
      <c r="AT6" s="10"/>
      <c r="AU6" s="10"/>
      <c r="AV6" s="10"/>
    </row>
    <row r="7" spans="1:48" x14ac:dyDescent="0.25">
      <c r="A7" s="23" t="s">
        <v>17</v>
      </c>
      <c r="B7" s="24" t="s">
        <v>289</v>
      </c>
      <c r="C7" s="109"/>
      <c r="D7" s="22">
        <f>IFERROR((s_TR/(up_RadSpec!I7*s_EF_cw*s_ED_con*s_IRS_cw*(1/1000)))*1,".")</f>
        <v>1.0666666666666667E-6</v>
      </c>
      <c r="E7" s="22">
        <f>IFERROR(IF(A7="H-3",(s_TR/(up_RadSpec!G7*s_EF_cw*s_ED_con*s_ET_cw_o*(1/24)*s_IRA_cw*(1/17)*1000))*1,(s_TR/(up_RadSpec!G7*s_EF_cw*s_ED_con*s_ET_cw_o*(1/24)*s_IRA_cw*(1/s_PEFsc)*1000))*1),".")</f>
        <v>2.1694802535592709E-6</v>
      </c>
      <c r="F7" s="22">
        <f>IFERROR((s_TR/(up_RadSpec!F7*s_EF_cw*(1/365)*s_ED_con*up_RadSpec!Q7*s_ET_cw_o*(1/24)*up_RadSpec!V7))*1,".")</f>
        <v>1.3470364963503645E-3</v>
      </c>
      <c r="G7" s="22">
        <f t="shared" si="0"/>
        <v>7.1470316972493746E-7</v>
      </c>
      <c r="H7" s="43">
        <f t="shared" si="1"/>
        <v>9.375</v>
      </c>
      <c r="I7" s="43">
        <f t="shared" si="2"/>
        <v>4.6093989487085221</v>
      </c>
      <c r="J7" s="43">
        <f>s_C*s_EF_cw*(1/365)*s_ED_con*(s_ET_cw_i+s_ET_cw_o)*(1/24)*up_RadSpec!V7*up_RadSpec!Q7*1</f>
        <v>7.4237038321484346E-3</v>
      </c>
      <c r="K7" s="4"/>
      <c r="L7" s="4"/>
      <c r="M7" s="4"/>
      <c r="N7" s="4"/>
      <c r="O7" s="22">
        <f>IFERROR((s_TR/(up_RadSpec!I7*s_EF_cw*s_ED_con*s_IRS_cw*(1/1000)))*1,".")</f>
        <v>1.0666666666666667E-6</v>
      </c>
      <c r="P7" s="22">
        <f>IFERROR(IF(A7="H-3",(s_TR/(up_RadSpec!G7*s_EF_cw*s_ED_con*s_ET_cw_o*(1/24)*s_IRA_cw*(1/17)*1000))*1,(s_TR/(up_RadSpec!G7*s_EF_cw*s_ED_con*s_ET_cw_o*(1/24)*s_IRA_cw*(1/s_PEF__sc)*1000))*1),".")</f>
        <v>1.3644722035813288E-5</v>
      </c>
      <c r="Q7" s="22">
        <f>IFERROR((s_TR/(up_RadSpec!F7*s_EF_cw*(1/365)*s_ED_con*up_RadSpec!Q7*s_ET_cw_o*(1/24)*up_RadSpec!V7))*1,".")</f>
        <v>1.3470364963503645E-3</v>
      </c>
      <c r="R7" s="22">
        <f t="shared" si="9"/>
        <v>9.8860066164469066E-7</v>
      </c>
      <c r="S7" s="43">
        <f t="shared" si="4"/>
        <v>9.375</v>
      </c>
      <c r="T7" s="43">
        <f t="shared" si="5"/>
        <v>0.73288411253472296</v>
      </c>
      <c r="U7" s="43">
        <f>s_C*s_EF_cw*(1/365)*s_ED_con*(s_ET_cw_i+s_ET_cw_o)*(1/24)*up_RadSpec!V7*up_RadSpec!Q7*1</f>
        <v>7.4237038321484346E-3</v>
      </c>
      <c r="V7" s="11"/>
      <c r="W7" s="11"/>
      <c r="X7" s="11"/>
      <c r="Y7" s="11"/>
      <c r="Z7" s="22">
        <f>IFERROR((s_TR/(up_RadSpec!F7*s_EF_cw*(1/365)*s_ED_con*up_RadSpec!Q7*s_ET_cw_o*(1/24)*up_RadSpec!V7))*1,".")</f>
        <v>1.3470364963503645E-3</v>
      </c>
      <c r="AA7" s="22">
        <f>IFERROR((s_TR/(up_RadSpec!M7*s_EF_cw*(1/365)*s_ED_con*up_RadSpec!R7*s_ET_cw_o*(1/24)*up_RadSpec!W7))*1,".")</f>
        <v>2.1429691876750706E-3</v>
      </c>
      <c r="AB7" s="22">
        <f>IFERROR((s_TR/(up_RadSpec!N7*s_EF_cw*(1/365)*s_ED_con*up_RadSpec!S7*s_ET_cw_o*(1/24)*up_RadSpec!X7))*1,".")</f>
        <v>1.57E-3</v>
      </c>
      <c r="AC7" s="22">
        <f>IFERROR((s_TR/(up_RadSpec!O7*s_EF_cw*(1/365)*s_ED_con*up_RadSpec!T7*s_ET_cw_o*(1/24)*up_RadSpec!Y7))*1,".")</f>
        <v>1.4442466086111781E-3</v>
      </c>
      <c r="AD7" s="22">
        <f>IFERROR((s_TR/(up_RadSpec!K7*s_EF_cw*(1/365)*s_ED_con*up_RadSpec!P7*s_ET_cw_o*(1/24)*up_RadSpec!U7))*1,".")</f>
        <v>3.6672880061115348E-3</v>
      </c>
      <c r="AE7" s="43">
        <f>s_C*s_EF_cw*(1/365)*s_ED_con*(s_ET_cw_i+s_ET_cw_o)*(1/24)*up_RadSpec!V7*up_RadSpec!Q7*1</f>
        <v>7.4237038321484346E-3</v>
      </c>
      <c r="AF7" s="43">
        <f>s_C*s_EF_cw*(1/365)*s_ED_con*(s_ET_cw_i+s_ET_cw_o)*(1/24)*up_RadSpec!W7*up_RadSpec!R7*1</f>
        <v>4.6664226707100265E-3</v>
      </c>
      <c r="AG7" s="43">
        <f>s_C*s_EF_cw*(1/365)*s_ED_con*(s_ET_cw_i+s_ET_cw_o)*(1/24)*up_RadSpec!X7*up_RadSpec!S7*1</f>
        <v>6.3694267515923561E-3</v>
      </c>
      <c r="AH7" s="43">
        <f>s_C*s_EF_cw*(1/365)*s_ED_con*(s_ET_cw_i+s_ET_cw_o)*(1/24)*up_RadSpec!Y7*up_RadSpec!T7*1</f>
        <v>6.9240252602124778E-3</v>
      </c>
      <c r="AI7" s="43">
        <f>s_C*s_EF_cw*(1/365)*s_ED_con*(s_ET_cw_i+s_ET_cw_o)*(1/24)*up_RadSpec!U7*up_RadSpec!P7*1</f>
        <v>2.7268106522681077E-3</v>
      </c>
      <c r="AJ7" s="11"/>
      <c r="AK7" s="11"/>
      <c r="AL7" s="11"/>
      <c r="AM7" s="11"/>
      <c r="AN7" s="11"/>
      <c r="AO7" s="22">
        <f>IFERROR(s_TR/(up_RadSpec!G7*s_EF_cw*s_ED_con*s_ET_cw_o*(1/24)*s_IRA_cw),".")</f>
        <v>4.2666666666666668E-9</v>
      </c>
      <c r="AP7" s="22">
        <f>IFERROR(s_TR/(up_RadSpec!J7*s_EF_cw*(1/365)*s_ED_con*s_ET_cw_o*(1/24)*s_GSF_a),".")</f>
        <v>9.344E-5</v>
      </c>
      <c r="AQ7" s="22">
        <f t="shared" si="10"/>
        <v>4.2664718506004295E-9</v>
      </c>
      <c r="AR7" s="43">
        <f t="shared" si="7"/>
        <v>2343.75</v>
      </c>
      <c r="AS7" s="43">
        <f t="shared" si="8"/>
        <v>0.10702054794520549</v>
      </c>
      <c r="AT7" s="10"/>
      <c r="AU7" s="10"/>
      <c r="AV7" s="10"/>
    </row>
    <row r="8" spans="1:48" x14ac:dyDescent="0.25">
      <c r="A8" s="23" t="s">
        <v>18</v>
      </c>
      <c r="B8" s="24" t="s">
        <v>289</v>
      </c>
      <c r="C8" s="2"/>
      <c r="D8" s="22">
        <f>IFERROR((s_TR/(up_RadSpec!I8*s_EF_cw*s_ED_con*s_IRS_cw*(1/1000)))*1,".")</f>
        <v>1.0666666666666667E-6</v>
      </c>
      <c r="E8" s="22">
        <f>IFERROR(IF(A8="H-3",(s_TR/(up_RadSpec!G8*s_EF_cw*s_ED_con*s_ET_cw_o*(1/24)*s_IRA_cw*(1/17)*1000))*1,(s_TR/(up_RadSpec!G8*s_EF_cw*s_ED_con*s_ET_cw_o*(1/24)*s_IRA_cw*(1/s_PEFsc)*1000))*1),".")</f>
        <v>2.1694802535592709E-6</v>
      </c>
      <c r="F8" s="22">
        <f>IFERROR((s_TR/(up_RadSpec!F8*s_EF_cw*(1/365)*s_ED_con*up_RadSpec!Q8*s_ET_cw_o*(1/24)*up_RadSpec!V8))*1,".")</f>
        <v>7.7436464088397831E-4</v>
      </c>
      <c r="G8" s="22">
        <f t="shared" si="0"/>
        <v>7.1442284461269097E-7</v>
      </c>
      <c r="H8" s="43">
        <f t="shared" si="1"/>
        <v>9.375</v>
      </c>
      <c r="I8" s="43">
        <f t="shared" si="2"/>
        <v>4.6093989487085221</v>
      </c>
      <c r="J8" s="43">
        <f>s_C*s_EF_cw*(1/365)*s_ED_con*(s_ET_cw_i+s_ET_cw_o)*(1/24)*up_RadSpec!V8*up_RadSpec!Q8*1</f>
        <v>1.2913812785388123E-2</v>
      </c>
      <c r="K8" s="4"/>
      <c r="L8" s="4"/>
      <c r="M8" s="4"/>
      <c r="N8" s="4"/>
      <c r="O8" s="22">
        <f>IFERROR((s_TR/(up_RadSpec!I8*s_EF_cw*s_ED_con*s_IRS_cw*(1/1000)))*1,".")</f>
        <v>1.0666666666666667E-6</v>
      </c>
      <c r="P8" s="22">
        <f>IFERROR(IF(A8="H-3",(s_TR/(up_RadSpec!G8*s_EF_cw*s_ED_con*s_ET_cw_o*(1/24)*s_IRA_cw*(1/17)*1000))*1,(s_TR/(up_RadSpec!G8*s_EF_cw*s_ED_con*s_ET_cw_o*(1/24)*s_IRA_cw*(1/s_PEF__sc)*1000))*1),".")</f>
        <v>1.3644722035813288E-5</v>
      </c>
      <c r="Q8" s="22">
        <f>IFERROR((s_TR/(up_RadSpec!F8*s_EF_cw*(1/365)*s_ED_con*up_RadSpec!Q8*s_ET_cw_o*(1/24)*up_RadSpec!V8))*1,".")</f>
        <v>7.7436464088397831E-4</v>
      </c>
      <c r="R8" s="22">
        <f t="shared" si="9"/>
        <v>9.8806438719442265E-7</v>
      </c>
      <c r="S8" s="43">
        <f t="shared" si="4"/>
        <v>9.375</v>
      </c>
      <c r="T8" s="43">
        <f t="shared" si="5"/>
        <v>0.73288411253472296</v>
      </c>
      <c r="U8" s="43">
        <f>s_C*s_EF_cw*(1/365)*s_ED_con*(s_ET_cw_i+s_ET_cw_o)*(1/24)*up_RadSpec!V8*up_RadSpec!Q8*1</f>
        <v>1.2913812785388123E-2</v>
      </c>
      <c r="V8" s="11"/>
      <c r="W8" s="11"/>
      <c r="X8" s="11"/>
      <c r="Y8" s="11"/>
      <c r="Z8" s="22">
        <f>IFERROR((s_TR/(up_RadSpec!F8*s_EF_cw*(1/365)*s_ED_con*up_RadSpec!Q8*s_ET_cw_o*(1/24)*up_RadSpec!V8))*1,".")</f>
        <v>7.7436464088397831E-4</v>
      </c>
      <c r="AA8" s="22">
        <f>IFERROR((s_TR/(up_RadSpec!M8*s_EF_cw*(1/365)*s_ED_con*up_RadSpec!R8*s_ET_cw_o*(1/24)*up_RadSpec!W8))*1,".")</f>
        <v>1.4215010141987829E-3</v>
      </c>
      <c r="AB8" s="22">
        <f>IFERROR((s_TR/(up_RadSpec!N8*s_EF_cw*(1/365)*s_ED_con*up_RadSpec!S8*s_ET_cw_o*(1/24)*up_RadSpec!X8))*1,".")</f>
        <v>1.0375634517766498E-3</v>
      </c>
      <c r="AC8" s="22">
        <f>IFERROR((s_TR/(up_RadSpec!O8*s_EF_cw*(1/365)*s_ED_con*up_RadSpec!T8*s_ET_cw_o*(1/24)*up_RadSpec!Y8))*1,".")</f>
        <v>9.512819042156583E-4</v>
      </c>
      <c r="AD8" s="22">
        <f>IFERROR((s_TR/(up_RadSpec!K8*s_EF_cw*(1/365)*s_ED_con*up_RadSpec!P8*s_ET_cw_o*(1/24)*up_RadSpec!U8))*1,".")</f>
        <v>2.6338791946308722E-3</v>
      </c>
      <c r="AE8" s="43">
        <f>s_C*s_EF_cw*(1/365)*s_ED_con*(s_ET_cw_i+s_ET_cw_o)*(1/24)*up_RadSpec!V8*up_RadSpec!Q8*1</f>
        <v>1.2913812785388123E-2</v>
      </c>
      <c r="AF8" s="43">
        <f>s_C*s_EF_cw*(1/365)*s_ED_con*(s_ET_cw_i+s_ET_cw_o)*(1/24)*up_RadSpec!W8*up_RadSpec!R8*1</f>
        <v>7.0348173515981747E-3</v>
      </c>
      <c r="AG8" s="43">
        <f>s_C*s_EF_cw*(1/365)*s_ED_con*(s_ET_cw_i+s_ET_cw_o)*(1/24)*up_RadSpec!X8*up_RadSpec!S8*1</f>
        <v>9.6379647749510761E-3</v>
      </c>
      <c r="AH8" s="43">
        <f>s_C*s_EF_cw*(1/365)*s_ED_con*(s_ET_cw_i+s_ET_cw_o)*(1/24)*up_RadSpec!Y8*up_RadSpec!T8*1</f>
        <v>1.0512131005209337E-2</v>
      </c>
      <c r="AI8" s="43">
        <f>s_C*s_EF_cw*(1/365)*s_ED_con*(s_ET_cw_i+s_ET_cw_o)*(1/24)*up_RadSpec!U8*up_RadSpec!P8*1</f>
        <v>3.7966813437703855E-3</v>
      </c>
      <c r="AJ8" s="11"/>
      <c r="AK8" s="11"/>
      <c r="AL8" s="11"/>
      <c r="AM8" s="11"/>
      <c r="AN8" s="11"/>
      <c r="AO8" s="22">
        <f>IFERROR(s_TR/(up_RadSpec!G8*s_EF_cw*s_ED_con*s_ET_cw_o*(1/24)*s_IRA_cw),".")</f>
        <v>4.2666666666666668E-9</v>
      </c>
      <c r="AP8" s="22">
        <f>IFERROR(s_TR/(up_RadSpec!J8*s_EF_cw*(1/365)*s_ED_con*s_ET_cw_o*(1/24)*s_GSF_a),".")</f>
        <v>9.344E-5</v>
      </c>
      <c r="AQ8" s="22">
        <f t="shared" si="10"/>
        <v>4.2664718506004295E-9</v>
      </c>
      <c r="AR8" s="43">
        <f t="shared" si="7"/>
        <v>2343.75</v>
      </c>
      <c r="AS8" s="43">
        <f t="shared" si="8"/>
        <v>0.10702054794520549</v>
      </c>
      <c r="AT8" s="10"/>
      <c r="AU8" s="10"/>
      <c r="AV8" s="10"/>
    </row>
    <row r="9" spans="1:48" x14ac:dyDescent="0.25">
      <c r="A9" s="23" t="s">
        <v>19</v>
      </c>
      <c r="B9" s="24" t="s">
        <v>289</v>
      </c>
      <c r="C9" s="109"/>
      <c r="D9" s="22">
        <f>IFERROR((s_TR/(up_RadSpec!I9*s_EF_cw*s_ED_con*s_IRS_cw*(1/1000)))*1,".")</f>
        <v>1.0666666666666667E-6</v>
      </c>
      <c r="E9" s="22">
        <f>IFERROR(IF(A9="H-3",(s_TR/(up_RadSpec!G9*s_EF_cw*s_ED_con*s_ET_cw_o*(1/24)*s_IRA_cw*(1/17)*1000))*1,(s_TR/(up_RadSpec!G9*s_EF_cw*s_ED_con*s_ET_cw_o*(1/24)*s_IRA_cw*(1/s_PEFsc)*1000))*1),".")</f>
        <v>2.1694802535592709E-6</v>
      </c>
      <c r="F9" s="22">
        <f>IFERROR((s_TR/(up_RadSpec!F9*s_EF_cw*(1/365)*s_ED_con*up_RadSpec!Q9*s_ET_cw_o*(1/24)*up_RadSpec!V9))*1,".")</f>
        <v>3.8136532580569269E-4</v>
      </c>
      <c r="G9" s="22">
        <f t="shared" si="0"/>
        <v>7.1374426151427964E-7</v>
      </c>
      <c r="H9" s="43">
        <f t="shared" si="1"/>
        <v>9.375</v>
      </c>
      <c r="I9" s="43">
        <f t="shared" si="2"/>
        <v>4.6093989487085221</v>
      </c>
      <c r="J9" s="43">
        <f>s_C*s_EF_cw*(1/365)*s_ED_con*(s_ET_cw_i+s_ET_cw_o)*(1/24)*up_RadSpec!V9*up_RadSpec!Q9*1</f>
        <v>2.6221576329398769E-2</v>
      </c>
      <c r="K9" s="4"/>
      <c r="L9" s="4"/>
      <c r="M9" s="4"/>
      <c r="N9" s="4"/>
      <c r="O9" s="22">
        <f>IFERROR((s_TR/(up_RadSpec!I9*s_EF_cw*s_ED_con*s_IRS_cw*(1/1000)))*1,".")</f>
        <v>1.0666666666666667E-6</v>
      </c>
      <c r="P9" s="22">
        <f>IFERROR(IF(A9="H-3",(s_TR/(up_RadSpec!G9*s_EF_cw*s_ED_con*s_ET_cw_o*(1/24)*s_IRA_cw*(1/17)*1000))*1,(s_TR/(up_RadSpec!G9*s_EF_cw*s_ED_con*s_ET_cw_o*(1/24)*s_IRA_cw*(1/s_PEF__sc)*1000))*1),".")</f>
        <v>1.3644722035813288E-5</v>
      </c>
      <c r="Q9" s="22">
        <f>IFERROR((s_TR/(up_RadSpec!F9*s_EF_cw*(1/365)*s_ED_con*up_RadSpec!Q9*s_ET_cw_o*(1/24)*up_RadSpec!V9))*1,".")</f>
        <v>3.8136532580569269E-4</v>
      </c>
      <c r="R9" s="22">
        <f t="shared" si="9"/>
        <v>9.8676689458533237E-7</v>
      </c>
      <c r="S9" s="43">
        <f t="shared" si="4"/>
        <v>9.375</v>
      </c>
      <c r="T9" s="43">
        <f t="shared" si="5"/>
        <v>0.73288411253472296</v>
      </c>
      <c r="U9" s="43">
        <f>s_C*s_EF_cw*(1/365)*s_ED_con*(s_ET_cw_i+s_ET_cw_o)*(1/24)*up_RadSpec!V9*up_RadSpec!Q9*1</f>
        <v>2.6221576329398769E-2</v>
      </c>
      <c r="V9" s="11"/>
      <c r="W9" s="11"/>
      <c r="X9" s="11"/>
      <c r="Y9" s="11"/>
      <c r="Z9" s="22">
        <f>IFERROR((s_TR/(up_RadSpec!F9*s_EF_cw*(1/365)*s_ED_con*up_RadSpec!Q9*s_ET_cw_o*(1/24)*up_RadSpec!V9))*1,".")</f>
        <v>3.8136532580569269E-4</v>
      </c>
      <c r="AA9" s="22">
        <f>IFERROR((s_TR/(up_RadSpec!M9*s_EF_cw*(1/365)*s_ED_con*up_RadSpec!R9*s_ET_cw_o*(1/24)*up_RadSpec!W9))*1,".")</f>
        <v>7.8110000000000028E-4</v>
      </c>
      <c r="AB9" s="22">
        <f>IFERROR((s_TR/(up_RadSpec!N9*s_EF_cw*(1/365)*s_ED_con*up_RadSpec!S9*s_ET_cw_o*(1/24)*up_RadSpec!X9))*1,".")</f>
        <v>5.495972448794638E-4</v>
      </c>
      <c r="AC9" s="22">
        <f>IFERROR((s_TR/(up_RadSpec!O9*s_EF_cw*(1/365)*s_ED_con*up_RadSpec!T9*s_ET_cw_o*(1/24)*up_RadSpec!Y9))*1,".")</f>
        <v>4.5304242424242425E-4</v>
      </c>
      <c r="AD9" s="22">
        <f>IFERROR((s_TR/(up_RadSpec!K9*s_EF_cw*(1/365)*s_ED_con*up_RadSpec!P9*s_ET_cw_o*(1/24)*up_RadSpec!U9))*1,".")</f>
        <v>1.3835464066449987E-3</v>
      </c>
      <c r="AE9" s="43">
        <f>s_C*s_EF_cw*(1/365)*s_ED_con*(s_ET_cw_i+s_ET_cw_o)*(1/24)*up_RadSpec!V9*up_RadSpec!Q9*1</f>
        <v>2.6221576329398769E-2</v>
      </c>
      <c r="AF9" s="43">
        <f>s_C*s_EF_cw*(1/365)*s_ED_con*(s_ET_cw_i+s_ET_cw_o)*(1/24)*up_RadSpec!W9*up_RadSpec!R9*1</f>
        <v>1.280245807194981E-2</v>
      </c>
      <c r="AG9" s="43">
        <f>s_C*s_EF_cw*(1/365)*s_ED_con*(s_ET_cw_i+s_ET_cw_o)*(1/24)*up_RadSpec!X9*up_RadSpec!S9*1</f>
        <v>1.8195142157587007E-2</v>
      </c>
      <c r="AH9" s="43">
        <f>s_C*s_EF_cw*(1/365)*s_ED_con*(s_ET_cw_i+s_ET_cw_o)*(1/24)*up_RadSpec!Y9*up_RadSpec!T9*1</f>
        <v>2.2072988013698634E-2</v>
      </c>
      <c r="AI9" s="43">
        <f>s_C*s_EF_cw*(1/365)*s_ED_con*(s_ET_cw_i+s_ET_cw_o)*(1/24)*up_RadSpec!U9*up_RadSpec!P9*1</f>
        <v>7.2278023722018017E-3</v>
      </c>
      <c r="AJ9" s="11"/>
      <c r="AK9" s="11"/>
      <c r="AL9" s="11"/>
      <c r="AM9" s="11"/>
      <c r="AN9" s="11"/>
      <c r="AO9" s="22">
        <f>IFERROR(s_TR/(up_RadSpec!G9*s_EF_cw*s_ED_con*s_ET_cw_o*(1/24)*s_IRA_cw),".")</f>
        <v>4.2666666666666668E-9</v>
      </c>
      <c r="AP9" s="22">
        <f>IFERROR(s_TR/(up_RadSpec!J9*s_EF_cw*(1/365)*s_ED_con*s_ET_cw_o*(1/24)*s_GSF_a),".")</f>
        <v>9.344E-5</v>
      </c>
      <c r="AQ9" s="22">
        <f t="shared" si="10"/>
        <v>4.2664718506004295E-9</v>
      </c>
      <c r="AR9" s="43">
        <f t="shared" si="7"/>
        <v>2343.75</v>
      </c>
      <c r="AS9" s="43">
        <f t="shared" si="8"/>
        <v>0.10702054794520549</v>
      </c>
      <c r="AT9" s="10"/>
      <c r="AU9" s="10"/>
      <c r="AV9" s="10"/>
    </row>
    <row r="10" spans="1:48" x14ac:dyDescent="0.25">
      <c r="A10" s="25" t="s">
        <v>20</v>
      </c>
      <c r="B10" s="24" t="s">
        <v>275</v>
      </c>
      <c r="C10" s="2"/>
      <c r="D10" s="22">
        <f>IFERROR((s_TR/(up_RadSpec!I10*s_EF_cw*s_ED_con*s_IRS_cw*(1/1000)))*1,".")</f>
        <v>1.0666666666666667E-6</v>
      </c>
      <c r="E10" s="22">
        <f>IFERROR(IF(A10="H-3",(s_TR/(up_RadSpec!G10*s_EF_cw*s_ED_con*s_ET_cw_o*(1/24)*s_IRA_cw*(1/17)*1000))*1,(s_TR/(up_RadSpec!G10*s_EF_cw*s_ED_con*s_ET_cw_o*(1/24)*s_IRA_cw*(1/s_PEFsc)*1000))*1),".")</f>
        <v>2.1694802535592709E-6</v>
      </c>
      <c r="F10" s="22">
        <f>IFERROR((s_TR/(up_RadSpec!F10*s_EF_cw*(1/365)*s_ED_con*up_RadSpec!Q10*s_ET_cw_o*(1/24)*up_RadSpec!V10))*1,".")</f>
        <v>7.2972190476190473E-4</v>
      </c>
      <c r="G10" s="22">
        <f t="shared" si="0"/>
        <v>7.1438252335574898E-7</v>
      </c>
      <c r="H10" s="43">
        <f t="shared" si="1"/>
        <v>9.375</v>
      </c>
      <c r="I10" s="43">
        <f t="shared" si="2"/>
        <v>4.6093989487085221</v>
      </c>
      <c r="J10" s="43">
        <f>s_C*s_EF_cw*(1/365)*s_ED_con*(s_ET_cw_i+s_ET_cw_o)*(1/24)*up_RadSpec!V10*up_RadSpec!Q10*1</f>
        <v>1.3703850651520216E-2</v>
      </c>
      <c r="K10" s="4"/>
      <c r="L10" s="4"/>
      <c r="M10" s="4"/>
      <c r="N10" s="4"/>
      <c r="O10" s="22">
        <f>IFERROR((s_TR/(up_RadSpec!I10*s_EF_cw*s_ED_con*s_IRS_cw*(1/1000)))*1,".")</f>
        <v>1.0666666666666667E-6</v>
      </c>
      <c r="P10" s="22">
        <f>IFERROR(IF(A10="H-3",(s_TR/(up_RadSpec!G10*s_EF_cw*s_ED_con*s_ET_cw_o*(1/24)*s_IRA_cw*(1/17)*1000))*1,(s_TR/(up_RadSpec!G10*s_EF_cw*s_ED_con*s_ET_cw_o*(1/24)*s_IRA_cw*(1/s_PEF__sc)*1000))*1),".")</f>
        <v>1.3644722035813288E-5</v>
      </c>
      <c r="Q10" s="22">
        <f>IFERROR((s_TR/(up_RadSpec!F10*s_EF_cw*(1/365)*s_ED_con*up_RadSpec!Q10*s_ET_cw_o*(1/24)*up_RadSpec!V10))*1,".")</f>
        <v>7.2972190476190473E-4</v>
      </c>
      <c r="R10" s="22">
        <f t="shared" si="9"/>
        <v>9.879872640905282E-7</v>
      </c>
      <c r="S10" s="43">
        <f t="shared" si="4"/>
        <v>9.375</v>
      </c>
      <c r="T10" s="43">
        <f t="shared" si="5"/>
        <v>0.73288411253472296</v>
      </c>
      <c r="U10" s="43">
        <f>s_C*s_EF_cw*(1/365)*s_ED_con*(s_ET_cw_i+s_ET_cw_o)*(1/24)*up_RadSpec!V10*up_RadSpec!Q10*1</f>
        <v>1.3703850651520216E-2</v>
      </c>
      <c r="V10" s="11"/>
      <c r="W10" s="11"/>
      <c r="X10" s="11"/>
      <c r="Y10" s="11"/>
      <c r="Z10" s="22">
        <f>IFERROR((s_TR/(up_RadSpec!F10*s_EF_cw*(1/365)*s_ED_con*up_RadSpec!Q10*s_ET_cw_o*(1/24)*up_RadSpec!V10))*1,".")</f>
        <v>7.2972190476190473E-4</v>
      </c>
      <c r="AA10" s="22">
        <f>IFERROR((s_TR/(up_RadSpec!M10*s_EF_cw*(1/365)*s_ED_con*up_RadSpec!R10*s_ET_cw_o*(1/24)*up_RadSpec!W10))*1,".")</f>
        <v>1.1371005291005286E-3</v>
      </c>
      <c r="AB10" s="22">
        <f>IFERROR((s_TR/(up_RadSpec!N10*s_EF_cw*(1/365)*s_ED_con*up_RadSpec!S10*s_ET_cw_o*(1/24)*up_RadSpec!X10))*1,".")</f>
        <v>8.1203855944581254E-4</v>
      </c>
      <c r="AC10" s="22">
        <f>IFERROR((s_TR/(up_RadSpec!O10*s_EF_cw*(1/365)*s_ED_con*up_RadSpec!T10*s_ET_cw_o*(1/24)*up_RadSpec!Y10))*1,".")</f>
        <v>7.4270414993306559E-4</v>
      </c>
      <c r="AD10" s="22">
        <f>IFERROR((s_TR/(up_RadSpec!K10*s_EF_cw*(1/365)*s_ED_con*up_RadSpec!P10*s_ET_cw_o*(1/24)*up_RadSpec!U10))*1,".")</f>
        <v>1.9115609850688386E-3</v>
      </c>
      <c r="AE10" s="43">
        <f>s_C*s_EF_cw*(1/365)*s_ED_con*(s_ET_cw_i+s_ET_cw_o)*(1/24)*up_RadSpec!V10*up_RadSpec!Q10*1</f>
        <v>1.3703850651520216E-2</v>
      </c>
      <c r="AF10" s="43">
        <f>s_C*s_EF_cw*(1/365)*s_ED_con*(s_ET_cw_i+s_ET_cw_o)*(1/24)*up_RadSpec!W10*up_RadSpec!R10*1</f>
        <v>8.7942972007147152E-3</v>
      </c>
      <c r="AG10" s="43">
        <f>s_C*s_EF_cw*(1/365)*s_ED_con*(s_ET_cw_i+s_ET_cw_o)*(1/24)*up_RadSpec!X10*up_RadSpec!S10*1</f>
        <v>1.2314686148431973E-2</v>
      </c>
      <c r="AH10" s="43">
        <f>s_C*s_EF_cw*(1/365)*s_ED_con*(s_ET_cw_i+s_ET_cw_o)*(1/24)*up_RadSpec!Y10*up_RadSpec!T10*1</f>
        <v>1.3464311463590487E-2</v>
      </c>
      <c r="AI10" s="43">
        <f>s_C*s_EF_cw*(1/365)*s_ED_con*(s_ET_cw_i+s_ET_cw_o)*(1/24)*up_RadSpec!U10*up_RadSpec!P10*1</f>
        <v>5.2313266896059207E-3</v>
      </c>
      <c r="AJ10" s="11"/>
      <c r="AK10" s="11"/>
      <c r="AL10" s="11"/>
      <c r="AM10" s="11"/>
      <c r="AN10" s="11"/>
      <c r="AO10" s="22">
        <f>IFERROR(s_TR/(up_RadSpec!G10*s_EF_cw*s_ED_con*s_ET_cw_o*(1/24)*s_IRA_cw),".")</f>
        <v>4.2666666666666668E-9</v>
      </c>
      <c r="AP10" s="22">
        <f>IFERROR(s_TR/(up_RadSpec!J10*s_EF_cw*(1/365)*s_ED_con*s_ET_cw_o*(1/24)*s_GSF_a),".")</f>
        <v>9.344E-5</v>
      </c>
      <c r="AQ10" s="22">
        <f t="shared" si="10"/>
        <v>4.2664718506004295E-9</v>
      </c>
      <c r="AR10" s="43">
        <f t="shared" si="7"/>
        <v>2343.75</v>
      </c>
      <c r="AS10" s="43">
        <f t="shared" si="8"/>
        <v>0.10702054794520549</v>
      </c>
      <c r="AT10" s="10"/>
      <c r="AU10" s="10"/>
      <c r="AV10" s="10"/>
    </row>
    <row r="11" spans="1:48" x14ac:dyDescent="0.25">
      <c r="A11" s="23" t="s">
        <v>21</v>
      </c>
      <c r="B11" s="24" t="s">
        <v>289</v>
      </c>
      <c r="C11" s="2"/>
      <c r="D11" s="22">
        <f>IFERROR((s_TR/(up_RadSpec!I11*s_EF_cw*s_ED_con*s_IRS_cw*(1/1000)))*1,".")</f>
        <v>1.0666666666666667E-6</v>
      </c>
      <c r="E11" s="22">
        <f>IFERROR(IF(A11="H-3",(s_TR/(up_RadSpec!G11*s_EF_cw*s_ED_con*s_ET_cw_o*(1/24)*s_IRA_cw*(1/17)*1000))*1,(s_TR/(up_RadSpec!G11*s_EF_cw*s_ED_con*s_ET_cw_o*(1/24)*s_IRA_cw*(1/s_PEFsc)*1000))*1),".")</f>
        <v>2.1694802535592709E-6</v>
      </c>
      <c r="F11" s="22">
        <f>IFERROR((s_TR/(up_RadSpec!F11*s_EF_cw*(1/365)*s_ED_con*up_RadSpec!Q11*s_ET_cw_o*(1/24)*up_RadSpec!V11))*1,".")</f>
        <v>2.1819780219780216E-3</v>
      </c>
      <c r="G11" s="22">
        <f t="shared" si="0"/>
        <v>7.1484830264230128E-7</v>
      </c>
      <c r="H11" s="43">
        <f t="shared" si="1"/>
        <v>9.375</v>
      </c>
      <c r="I11" s="43">
        <f t="shared" si="2"/>
        <v>4.6093989487085221</v>
      </c>
      <c r="J11" s="43">
        <f>s_C*s_EF_cw*(1/365)*s_ED_con*(s_ET_cw_i+s_ET_cw_o)*(1/24)*up_RadSpec!V11*up_RadSpec!Q11*1</f>
        <v>4.5829975825946827E-3</v>
      </c>
      <c r="K11" s="4"/>
      <c r="L11" s="4"/>
      <c r="M11" s="4"/>
      <c r="N11" s="4"/>
      <c r="O11" s="22">
        <f>IFERROR((s_TR/(up_RadSpec!I11*s_EF_cw*s_ED_con*s_IRS_cw*(1/1000)))*1,".")</f>
        <v>1.0666666666666667E-6</v>
      </c>
      <c r="P11" s="22">
        <f>IFERROR(IF(A11="H-3",(s_TR/(up_RadSpec!G11*s_EF_cw*s_ED_con*s_ET_cw_o*(1/24)*s_IRA_cw*(1/17)*1000))*1,(s_TR/(up_RadSpec!G11*s_EF_cw*s_ED_con*s_ET_cw_o*(1/24)*s_IRA_cw*(1/s_PEF__sc)*1000))*1),".")</f>
        <v>1.3644722035813288E-5</v>
      </c>
      <c r="Q11" s="22">
        <f>IFERROR((s_TR/(up_RadSpec!F11*s_EF_cw*(1/365)*s_ED_con*up_RadSpec!Q11*s_ET_cw_o*(1/24)*up_RadSpec!V11))*1,".")</f>
        <v>2.1819780219780216E-3</v>
      </c>
      <c r="R11" s="22">
        <f t="shared" si="9"/>
        <v>9.8887837073855139E-7</v>
      </c>
      <c r="S11" s="43">
        <f t="shared" si="4"/>
        <v>9.375</v>
      </c>
      <c r="T11" s="43">
        <f t="shared" si="5"/>
        <v>0.73288411253472296</v>
      </c>
      <c r="U11" s="43">
        <f>s_C*s_EF_cw*(1/365)*s_ED_con*(s_ET_cw_i+s_ET_cw_o)*(1/24)*up_RadSpec!V11*up_RadSpec!Q11*1</f>
        <v>4.5829975825946827E-3</v>
      </c>
      <c r="V11" s="11"/>
      <c r="W11" s="11"/>
      <c r="X11" s="11"/>
      <c r="Y11" s="11"/>
      <c r="Z11" s="22">
        <f>IFERROR((s_TR/(up_RadSpec!F11*s_EF_cw*(1/365)*s_ED_con*up_RadSpec!Q11*s_ET_cw_o*(1/24)*up_RadSpec!V11))*1,".")</f>
        <v>2.1819780219780216E-3</v>
      </c>
      <c r="AA11" s="22">
        <f>IFERROR((s_TR/(up_RadSpec!M11*s_EF_cw*(1/365)*s_ED_con*up_RadSpec!R11*s_ET_cw_o*(1/24)*up_RadSpec!W11))*1,".")</f>
        <v>2.7609233610341646E-3</v>
      </c>
      <c r="AB11" s="22">
        <f>IFERROR((s_TR/(up_RadSpec!N11*s_EF_cw*(1/365)*s_ED_con*up_RadSpec!S11*s_ET_cw_o*(1/24)*up_RadSpec!X11))*1,".")</f>
        <v>2.1427338129496394E-3</v>
      </c>
      <c r="AC11" s="22">
        <f>IFERROR((s_TR/(up_RadSpec!O11*s_EF_cw*(1/365)*s_ED_con*up_RadSpec!T11*s_ET_cw_o*(1/24)*up_RadSpec!Y11))*1,".")</f>
        <v>2.0410702341137131E-3</v>
      </c>
      <c r="AD11" s="22">
        <f>IFERROR((s_TR/(up_RadSpec!K11*s_EF_cw*(1/365)*s_ED_con*up_RadSpec!P11*s_ET_cw_o*(1/24)*up_RadSpec!U11))*1,".")</f>
        <v>5.1397959183673465E-3</v>
      </c>
      <c r="AE11" s="43">
        <f>s_C*s_EF_cw*(1/365)*s_ED_con*(s_ET_cw_i+s_ET_cw_o)*(1/24)*up_RadSpec!V11*up_RadSpec!Q11*1</f>
        <v>4.5829975825946827E-3</v>
      </c>
      <c r="AF11" s="43">
        <f>s_C*s_EF_cw*(1/365)*s_ED_con*(s_ET_cw_i+s_ET_cw_o)*(1/24)*up_RadSpec!W11*up_RadSpec!R11*1</f>
        <v>3.6219766695205487E-3</v>
      </c>
      <c r="AG11" s="43">
        <f>s_C*s_EF_cw*(1/365)*s_ED_con*(s_ET_cw_i+s_ET_cw_o)*(1/24)*up_RadSpec!X11*up_RadSpec!S11*1</f>
        <v>4.6669352672575899E-3</v>
      </c>
      <c r="AH11" s="43">
        <f>s_C*s_EF_cw*(1/365)*s_ED_con*(s_ET_cw_i+s_ET_cw_o)*(1/24)*up_RadSpec!Y11*up_RadSpec!T11*1</f>
        <v>4.8993904437307457E-3</v>
      </c>
      <c r="AI11" s="43">
        <f>s_C*s_EF_cw*(1/365)*s_ED_con*(s_ET_cw_i+s_ET_cw_o)*(1/24)*up_RadSpec!U11*up_RadSpec!P11*1</f>
        <v>1.945602541195156E-3</v>
      </c>
      <c r="AJ11" s="11"/>
      <c r="AK11" s="11"/>
      <c r="AL11" s="11"/>
      <c r="AM11" s="11"/>
      <c r="AN11" s="11"/>
      <c r="AO11" s="22">
        <f>IFERROR(s_TR/(up_RadSpec!G11*s_EF_cw*s_ED_con*s_ET_cw_o*(1/24)*s_IRA_cw),".")</f>
        <v>4.2666666666666668E-9</v>
      </c>
      <c r="AP11" s="22">
        <f>IFERROR(s_TR/(up_RadSpec!J11*s_EF_cw*(1/365)*s_ED_con*s_ET_cw_o*(1/24)*s_GSF_a),".")</f>
        <v>9.344E-5</v>
      </c>
      <c r="AQ11" s="22">
        <f t="shared" si="10"/>
        <v>4.2664718506004295E-9</v>
      </c>
      <c r="AR11" s="43">
        <f t="shared" si="7"/>
        <v>2343.75</v>
      </c>
      <c r="AS11" s="43">
        <f t="shared" si="8"/>
        <v>0.10702054794520549</v>
      </c>
      <c r="AT11" s="10"/>
      <c r="AU11" s="10"/>
      <c r="AV11" s="10"/>
    </row>
    <row r="12" spans="1:48" x14ac:dyDescent="0.25">
      <c r="A12" s="23" t="s">
        <v>22</v>
      </c>
      <c r="B12" s="24" t="s">
        <v>289</v>
      </c>
      <c r="C12" s="109"/>
      <c r="D12" s="22">
        <f>IFERROR((s_TR/(up_RadSpec!I12*s_EF_cw*s_ED_con*s_IRS_cw*(1/1000)))*1,".")</f>
        <v>1.0666666666666667E-6</v>
      </c>
      <c r="E12" s="22">
        <f>IFERROR(IF(A12="H-3",(s_TR/(up_RadSpec!G12*s_EF_cw*s_ED_con*s_ET_cw_o*(1/24)*s_IRA_cw*(1/17)*1000))*1,(s_TR/(up_RadSpec!G12*s_EF_cw*s_ED_con*s_ET_cw_o*(1/24)*s_IRA_cw*(1/s_PEFsc)*1000))*1),".")</f>
        <v>2.1694802535592709E-6</v>
      </c>
      <c r="F12" s="22">
        <f>IFERROR((s_TR/(up_RadSpec!F12*s_EF_cw*(1/365)*s_ED_con*up_RadSpec!Q12*s_ET_cw_o*(1/24)*up_RadSpec!V12))*1,".")</f>
        <v>1.0454701886792451E-3</v>
      </c>
      <c r="G12" s="22">
        <f t="shared" si="0"/>
        <v>7.1459380512776167E-7</v>
      </c>
      <c r="H12" s="43">
        <f t="shared" si="1"/>
        <v>9.375</v>
      </c>
      <c r="I12" s="43">
        <f t="shared" si="2"/>
        <v>4.6093989487085221</v>
      </c>
      <c r="J12" s="43">
        <f>s_C*s_EF_cw*(1/365)*s_ED_con*(s_ET_cw_i+s_ET_cw_o)*(1/24)*up_RadSpec!V12*up_RadSpec!Q12*1</f>
        <v>9.5650742682898658E-3</v>
      </c>
      <c r="K12" s="4"/>
      <c r="L12" s="4"/>
      <c r="M12" s="4"/>
      <c r="N12" s="4"/>
      <c r="O12" s="22">
        <f>IFERROR((s_TR/(up_RadSpec!I12*s_EF_cw*s_ED_con*s_IRS_cw*(1/1000)))*1,".")</f>
        <v>1.0666666666666667E-6</v>
      </c>
      <c r="P12" s="22">
        <f>IFERROR(IF(A12="H-3",(s_TR/(up_RadSpec!G12*s_EF_cw*s_ED_con*s_ET_cw_o*(1/24)*s_IRA_cw*(1/17)*1000))*1,(s_TR/(up_RadSpec!G12*s_EF_cw*s_ED_con*s_ET_cw_o*(1/24)*s_IRA_cw*(1/s_PEF__sc)*1000))*1),".")</f>
        <v>1.3644722035813288E-5</v>
      </c>
      <c r="Q12" s="22">
        <f>IFERROR((s_TR/(up_RadSpec!F12*s_EF_cw*(1/365)*s_ED_con*up_RadSpec!Q12*s_ET_cw_o*(1/24)*up_RadSpec!V12))*1,".")</f>
        <v>1.0454701886792451E-3</v>
      </c>
      <c r="R12" s="22">
        <f t="shared" si="9"/>
        <v>9.8839142311125105E-7</v>
      </c>
      <c r="S12" s="43">
        <f t="shared" si="4"/>
        <v>9.375</v>
      </c>
      <c r="T12" s="43">
        <f t="shared" si="5"/>
        <v>0.73288411253472296</v>
      </c>
      <c r="U12" s="43">
        <f>s_C*s_EF_cw*(1/365)*s_ED_con*(s_ET_cw_i+s_ET_cw_o)*(1/24)*up_RadSpec!V12*up_RadSpec!Q12*1</f>
        <v>9.5650742682898658E-3</v>
      </c>
      <c r="V12" s="11"/>
      <c r="W12" s="11"/>
      <c r="X12" s="11"/>
      <c r="Y12" s="11"/>
      <c r="Z12" s="22">
        <f>IFERROR((s_TR/(up_RadSpec!F12*s_EF_cw*(1/365)*s_ED_con*up_RadSpec!Q12*s_ET_cw_o*(1/24)*up_RadSpec!V12))*1,".")</f>
        <v>1.0454701886792451E-3</v>
      </c>
      <c r="AA12" s="22">
        <f>IFERROR((s_TR/(up_RadSpec!M12*s_EF_cw*(1/365)*s_ED_con*up_RadSpec!R12*s_ET_cw_o*(1/24)*up_RadSpec!W12))*1,".")</f>
        <v>1.8756405714960447E-3</v>
      </c>
      <c r="AB12" s="22">
        <f>IFERROR((s_TR/(up_RadSpec!N12*s_EF_cw*(1/365)*s_ED_con*up_RadSpec!S12*s_ET_cw_o*(1/24)*up_RadSpec!X12))*1,".")</f>
        <v>1.360003786623751E-3</v>
      </c>
      <c r="AC12" s="22">
        <f>IFERROR((s_TR/(up_RadSpec!O12*s_EF_cw*(1/365)*s_ED_con*up_RadSpec!T12*s_ET_cw_o*(1/24)*up_RadSpec!Y12))*1,".")</f>
        <v>1.2010730253353202E-3</v>
      </c>
      <c r="AD12" s="22">
        <f>IFERROR((s_TR/(up_RadSpec!K12*s_EF_cw*(1/365)*s_ED_con*up_RadSpec!P12*s_ET_cw_o*(1/24)*up_RadSpec!U12))*1,".")</f>
        <v>3.2378231292517004E-3</v>
      </c>
      <c r="AE12" s="43">
        <f>s_C*s_EF_cw*(1/365)*s_ED_con*(s_ET_cw_i+s_ET_cw_o)*(1/24)*up_RadSpec!V12*up_RadSpec!Q12*1</f>
        <v>9.5650742682898658E-3</v>
      </c>
      <c r="AF12" s="43">
        <f>s_C*s_EF_cw*(1/365)*s_ED_con*(s_ET_cw_i+s_ET_cw_o)*(1/24)*up_RadSpec!W12*up_RadSpec!R12*1</f>
        <v>5.3315118855761477E-3</v>
      </c>
      <c r="AG12" s="43">
        <f>s_C*s_EF_cw*(1/365)*s_ED_con*(s_ET_cw_i+s_ET_cw_o)*(1/24)*up_RadSpec!X12*up_RadSpec!S12*1</f>
        <v>7.3529207038645766E-3</v>
      </c>
      <c r="AH12" s="43">
        <f>s_C*s_EF_cw*(1/365)*s_ED_con*(s_ET_cw_i+s_ET_cw_o)*(1/24)*up_RadSpec!Y12*up_RadSpec!T12*1</f>
        <v>8.3258884256501922E-3</v>
      </c>
      <c r="AI12" s="43">
        <f>s_C*s_EF_cw*(1/365)*s_ED_con*(s_ET_cw_i+s_ET_cw_o)*(1/24)*up_RadSpec!U12*up_RadSpec!P12*1</f>
        <v>3.0884948314984454E-3</v>
      </c>
      <c r="AJ12" s="11"/>
      <c r="AK12" s="11"/>
      <c r="AL12" s="11"/>
      <c r="AM12" s="11"/>
      <c r="AN12" s="11"/>
      <c r="AO12" s="22">
        <f>IFERROR(s_TR/(up_RadSpec!G12*s_EF_cw*s_ED_con*s_ET_cw_o*(1/24)*s_IRA_cw),".")</f>
        <v>4.2666666666666668E-9</v>
      </c>
      <c r="AP12" s="22">
        <f>IFERROR(s_TR/(up_RadSpec!J12*s_EF_cw*(1/365)*s_ED_con*s_ET_cw_o*(1/24)*s_GSF_a),".")</f>
        <v>9.344E-5</v>
      </c>
      <c r="AQ12" s="22">
        <f t="shared" si="10"/>
        <v>4.2664718506004295E-9</v>
      </c>
      <c r="AR12" s="43">
        <f t="shared" si="7"/>
        <v>2343.75</v>
      </c>
      <c r="AS12" s="43">
        <f t="shared" si="8"/>
        <v>0.10702054794520549</v>
      </c>
      <c r="AT12" s="10"/>
      <c r="AU12" s="10"/>
      <c r="AV12" s="10"/>
    </row>
    <row r="13" spans="1:48" x14ac:dyDescent="0.25">
      <c r="A13" s="23" t="s">
        <v>23</v>
      </c>
      <c r="B13" s="24" t="s">
        <v>289</v>
      </c>
      <c r="C13" s="2"/>
      <c r="D13" s="22">
        <f>IFERROR((s_TR/(up_RadSpec!I13*s_EF_cw*s_ED_con*s_IRS_cw*(1/1000)))*1,".")</f>
        <v>1.0666666666666667E-6</v>
      </c>
      <c r="E13" s="22">
        <f>IFERROR(IF(A13="H-3",(s_TR/(up_RadSpec!G13*s_EF_cw*s_ED_con*s_ET_cw_o*(1/24)*s_IRA_cw*(1/17)*1000))*1,(s_TR/(up_RadSpec!G13*s_EF_cw*s_ED_con*s_ET_cw_o*(1/24)*s_IRA_cw*(1/s_PEFsc)*1000))*1),".")</f>
        <v>2.1694802535592709E-6</v>
      </c>
      <c r="F13" s="22">
        <f>IFERROR((s_TR/(up_RadSpec!F13*s_EF_cw*(1/365)*s_ED_con*up_RadSpec!Q13*s_ET_cw_o*(1/24)*up_RadSpec!V13))*1,".")</f>
        <v>8.0359573132454554E-3</v>
      </c>
      <c r="G13" s="22">
        <f t="shared" si="0"/>
        <v>7.1501894805966421E-7</v>
      </c>
      <c r="H13" s="43">
        <f t="shared" si="1"/>
        <v>9.375</v>
      </c>
      <c r="I13" s="43">
        <f t="shared" si="2"/>
        <v>4.6093989487085221</v>
      </c>
      <c r="J13" s="43">
        <f>s_C*s_EF_cw*(1/365)*s_ED_con*(s_ET_cw_i+s_ET_cw_o)*(1/24)*up_RadSpec!V13*up_RadSpec!Q13*1</f>
        <v>1.2444068093190673E-3</v>
      </c>
      <c r="K13" s="4"/>
      <c r="L13" s="4"/>
      <c r="M13" s="4"/>
      <c r="N13" s="4"/>
      <c r="O13" s="22">
        <f>IFERROR((s_TR/(up_RadSpec!I13*s_EF_cw*s_ED_con*s_IRS_cw*(1/1000)))*1,".")</f>
        <v>1.0666666666666667E-6</v>
      </c>
      <c r="P13" s="22">
        <f>IFERROR(IF(A13="H-3",(s_TR/(up_RadSpec!G13*s_EF_cw*s_ED_con*s_ET_cw_o*(1/24)*s_IRA_cw*(1/17)*1000))*1,(s_TR/(up_RadSpec!G13*s_EF_cw*s_ED_con*s_ET_cw_o*(1/24)*s_IRA_cw*(1/s_PEF__sc)*1000))*1),".")</f>
        <v>1.3644722035813288E-5</v>
      </c>
      <c r="Q13" s="22">
        <f>IFERROR((s_TR/(up_RadSpec!F13*s_EF_cw*(1/365)*s_ED_con*up_RadSpec!Q13*s_ET_cw_o*(1/24)*up_RadSpec!V13))*1,".")</f>
        <v>8.0359573132454554E-3</v>
      </c>
      <c r="R13" s="22">
        <f t="shared" si="9"/>
        <v>9.8920495281712734E-7</v>
      </c>
      <c r="S13" s="43">
        <f t="shared" si="4"/>
        <v>9.375</v>
      </c>
      <c r="T13" s="43">
        <f t="shared" si="5"/>
        <v>0.73288411253472296</v>
      </c>
      <c r="U13" s="43">
        <f>s_C*s_EF_cw*(1/365)*s_ED_con*(s_ET_cw_i+s_ET_cw_o)*(1/24)*up_RadSpec!V13*up_RadSpec!Q13*1</f>
        <v>1.2444068093190673E-3</v>
      </c>
      <c r="V13" s="11"/>
      <c r="W13" s="11"/>
      <c r="X13" s="11"/>
      <c r="Y13" s="11"/>
      <c r="Z13" s="22">
        <f>IFERROR((s_TR/(up_RadSpec!F13*s_EF_cw*(1/365)*s_ED_con*up_RadSpec!Q13*s_ET_cw_o*(1/24)*up_RadSpec!V13))*1,".")</f>
        <v>8.0359573132454554E-3</v>
      </c>
      <c r="AA13" s="22">
        <f>IFERROR((s_TR/(up_RadSpec!M13*s_EF_cw*(1/365)*s_ED_con*up_RadSpec!R13*s_ET_cw_o*(1/24)*up_RadSpec!W13))*1,".")</f>
        <v>1.7524660814046293E-2</v>
      </c>
      <c r="AB13" s="22">
        <f>IFERROR((s_TR/(up_RadSpec!N13*s_EF_cw*(1/365)*s_ED_con*up_RadSpec!S13*s_ET_cw_o*(1/24)*up_RadSpec!X13))*1,".")</f>
        <v>1.0411276948590379E-2</v>
      </c>
      <c r="AC13" s="22">
        <f>IFERROR((s_TR/(up_RadSpec!O13*s_EF_cw*(1/365)*s_ED_con*up_RadSpec!T13*s_ET_cw_o*(1/24)*up_RadSpec!Y13))*1,".")</f>
        <v>8.5947080513797194E-3</v>
      </c>
      <c r="AD13" s="22">
        <f>IFERROR((s_TR/(up_RadSpec!K13*s_EF_cw*(1/365)*s_ED_con*up_RadSpec!P13*s_ET_cw_o*(1/24)*up_RadSpec!U13))*1,".")</f>
        <v>0.16859523809523805</v>
      </c>
      <c r="AE13" s="43">
        <f>s_C*s_EF_cw*(1/365)*s_ED_con*(s_ET_cw_i+s_ET_cw_o)*(1/24)*up_RadSpec!V13*up_RadSpec!Q13*1</f>
        <v>1.2444068093190673E-3</v>
      </c>
      <c r="AF13" s="43">
        <f>s_C*s_EF_cw*(1/365)*s_ED_con*(s_ET_cw_i+s_ET_cw_o)*(1/24)*up_RadSpec!W13*up_RadSpec!R13*1</f>
        <v>5.7062445351209554E-4</v>
      </c>
      <c r="AG13" s="43">
        <f>s_C*s_EF_cw*(1/365)*s_ED_con*(s_ET_cw_i+s_ET_cw_o)*(1/24)*up_RadSpec!X13*up_RadSpec!S13*1</f>
        <v>9.604969735584586E-4</v>
      </c>
      <c r="AH13" s="43">
        <f>s_C*s_EF_cw*(1/365)*s_ED_con*(s_ET_cw_i+s_ET_cw_o)*(1/24)*up_RadSpec!Y13*up_RadSpec!T13*1</f>
        <v>1.1635066531893064E-3</v>
      </c>
      <c r="AI13" s="43">
        <f>s_C*s_EF_cw*(1/365)*s_ED_con*(s_ET_cw_i+s_ET_cw_o)*(1/24)*up_RadSpec!U13*up_RadSpec!P13*1</f>
        <v>5.931365626323968E-5</v>
      </c>
      <c r="AJ13" s="11"/>
      <c r="AK13" s="11"/>
      <c r="AL13" s="11"/>
      <c r="AM13" s="11"/>
      <c r="AN13" s="11"/>
      <c r="AO13" s="22">
        <f>IFERROR(s_TR/(up_RadSpec!G13*s_EF_cw*s_ED_con*s_ET_cw_o*(1/24)*s_IRA_cw),".")</f>
        <v>4.2666666666666668E-9</v>
      </c>
      <c r="AP13" s="22">
        <f>IFERROR(s_TR/(up_RadSpec!J13*s_EF_cw*(1/365)*s_ED_con*s_ET_cw_o*(1/24)*s_GSF_a),".")</f>
        <v>9.344E-5</v>
      </c>
      <c r="AQ13" s="22">
        <f t="shared" si="10"/>
        <v>4.2664718506004295E-9</v>
      </c>
      <c r="AR13" s="43">
        <f t="shared" si="7"/>
        <v>2343.75</v>
      </c>
      <c r="AS13" s="43">
        <f t="shared" si="8"/>
        <v>0.10702054794520549</v>
      </c>
      <c r="AT13" s="10"/>
      <c r="AU13" s="10"/>
      <c r="AV13" s="10"/>
    </row>
    <row r="14" spans="1:48" x14ac:dyDescent="0.25">
      <c r="A14" s="23" t="s">
        <v>24</v>
      </c>
      <c r="B14" s="24" t="s">
        <v>289</v>
      </c>
      <c r="C14" s="2"/>
      <c r="D14" s="22">
        <f>IFERROR((s_TR/(up_RadSpec!I14*s_EF_cw*s_ED_con*s_IRS_cw*(1/1000)))*1,".")</f>
        <v>1.0666666666666667E-6</v>
      </c>
      <c r="E14" s="22">
        <f>IFERROR(IF(A14="H-3",(s_TR/(up_RadSpec!G14*s_EF_cw*s_ED_con*s_ET_cw_o*(1/24)*s_IRA_cw*(1/17)*1000))*1,(s_TR/(up_RadSpec!G14*s_EF_cw*s_ED_con*s_ET_cw_o*(1/24)*s_IRA_cw*(1/s_PEFsc)*1000))*1),".")</f>
        <v>2.1694802535592709E-6</v>
      </c>
      <c r="F14" s="22">
        <f>IFERROR((s_TR/(up_RadSpec!F14*s_EF_cw*(1/365)*s_ED_con*up_RadSpec!Q14*s_ET_cw_o*(1/24)*up_RadSpec!V14))*1,".")</f>
        <v>1.2063359650429512E-3</v>
      </c>
      <c r="G14" s="22">
        <f t="shared" si="0"/>
        <v>7.1465894423623691E-7</v>
      </c>
      <c r="H14" s="43">
        <f t="shared" si="1"/>
        <v>9.375</v>
      </c>
      <c r="I14" s="43">
        <f t="shared" si="2"/>
        <v>4.6093989487085221</v>
      </c>
      <c r="J14" s="43">
        <f>s_C*s_EF_cw*(1/365)*s_ED_con*(s_ET_cw_i+s_ET_cw_o)*(1/24)*up_RadSpec!V14*up_RadSpec!Q14*1</f>
        <v>8.2895646733403636E-3</v>
      </c>
      <c r="K14" s="4"/>
      <c r="L14" s="4"/>
      <c r="M14" s="4"/>
      <c r="N14" s="4"/>
      <c r="O14" s="22">
        <f>IFERROR((s_TR/(up_RadSpec!I14*s_EF_cw*s_ED_con*s_IRS_cw*(1/1000)))*1,".")</f>
        <v>1.0666666666666667E-6</v>
      </c>
      <c r="P14" s="22">
        <f>IFERROR(IF(A14="H-3",(s_TR/(up_RadSpec!G14*s_EF_cw*s_ED_con*s_ET_cw_o*(1/24)*s_IRA_cw*(1/17)*1000))*1,(s_TR/(up_RadSpec!G14*s_EF_cw*s_ED_con*s_ET_cw_o*(1/24)*s_IRA_cw*(1/s_PEF__sc)*1000))*1),".")</f>
        <v>1.3644722035813288E-5</v>
      </c>
      <c r="Q14" s="22">
        <f>IFERROR((s_TR/(up_RadSpec!F14*s_EF_cw*(1/365)*s_ED_con*up_RadSpec!Q14*s_ET_cw_o*(1/24)*up_RadSpec!V14))*1,".")</f>
        <v>1.2063359650429512E-3</v>
      </c>
      <c r="R14" s="22">
        <f t="shared" si="9"/>
        <v>9.885160456003433E-7</v>
      </c>
      <c r="S14" s="43">
        <f t="shared" si="4"/>
        <v>9.375</v>
      </c>
      <c r="T14" s="43">
        <f t="shared" si="5"/>
        <v>0.73288411253472296</v>
      </c>
      <c r="U14" s="43">
        <f>s_C*s_EF_cw*(1/365)*s_ED_con*(s_ET_cw_i+s_ET_cw_o)*(1/24)*up_RadSpec!V14*up_RadSpec!Q14*1</f>
        <v>8.2895646733403636E-3</v>
      </c>
      <c r="V14" s="11"/>
      <c r="W14" s="11"/>
      <c r="X14" s="11"/>
      <c r="Y14" s="11"/>
      <c r="Z14" s="22">
        <f>IFERROR((s_TR/(up_RadSpec!F14*s_EF_cw*(1/365)*s_ED_con*up_RadSpec!Q14*s_ET_cw_o*(1/24)*up_RadSpec!V14))*1,".")</f>
        <v>1.2063359650429512E-3</v>
      </c>
      <c r="AA14" s="22">
        <f>IFERROR((s_TR/(up_RadSpec!M14*s_EF_cw*(1/365)*s_ED_con*up_RadSpec!R14*s_ET_cw_o*(1/24)*up_RadSpec!W14))*1,".")</f>
        <v>2.19083086728887E-3</v>
      </c>
      <c r="AB14" s="22">
        <f>IFERROR((s_TR/(up_RadSpec!N14*s_EF_cw*(1/365)*s_ED_con*up_RadSpec!S14*s_ET_cw_o*(1/24)*up_RadSpec!X14))*1,".")</f>
        <v>1.6197769068435346E-3</v>
      </c>
      <c r="AC14" s="22">
        <f>IFERROR((s_TR/(up_RadSpec!O14*s_EF_cw*(1/365)*s_ED_con*up_RadSpec!T14*s_ET_cw_o*(1/24)*up_RadSpec!Y14))*1,".")</f>
        <v>1.4194050165273189E-3</v>
      </c>
      <c r="AD14" s="22">
        <f>IFERROR((s_TR/(up_RadSpec!K14*s_EF_cw*(1/365)*s_ED_con*up_RadSpec!P14*s_ET_cw_o*(1/24)*up_RadSpec!U14))*1,".")</f>
        <v>6.1130081300813021E-3</v>
      </c>
      <c r="AE14" s="43">
        <f>s_C*s_EF_cw*(1/365)*s_ED_con*(s_ET_cw_i+s_ET_cw_o)*(1/24)*up_RadSpec!V14*up_RadSpec!Q14*1</f>
        <v>8.2895646733403636E-3</v>
      </c>
      <c r="AF14" s="43">
        <f>s_C*s_EF_cw*(1/365)*s_ED_con*(s_ET_cw_i+s_ET_cw_o)*(1/24)*up_RadSpec!W14*up_RadSpec!R14*1</f>
        <v>4.5644783215853151E-3</v>
      </c>
      <c r="AG14" s="43">
        <f>s_C*s_EF_cw*(1/365)*s_ED_con*(s_ET_cw_i+s_ET_cw_o)*(1/24)*up_RadSpec!X14*up_RadSpec!S14*1</f>
        <v>6.173689696247763E-3</v>
      </c>
      <c r="AH14" s="43">
        <f>s_C*s_EF_cw*(1/365)*s_ED_con*(s_ET_cw_i+s_ET_cw_o)*(1/24)*up_RadSpec!Y14*up_RadSpec!T14*1</f>
        <v>7.045205479452055E-3</v>
      </c>
      <c r="AI14" s="43">
        <f>s_C*s_EF_cw*(1/365)*s_ED_con*(s_ET_cw_i+s_ET_cw_o)*(1/24)*up_RadSpec!U14*up_RadSpec!P14*1</f>
        <v>1.6358558318925387E-3</v>
      </c>
      <c r="AJ14" s="11"/>
      <c r="AK14" s="11"/>
      <c r="AL14" s="11"/>
      <c r="AM14" s="11"/>
      <c r="AN14" s="11"/>
      <c r="AO14" s="22">
        <f>IFERROR(s_TR/(up_RadSpec!G14*s_EF_cw*s_ED_con*s_ET_cw_o*(1/24)*s_IRA_cw),".")</f>
        <v>4.2666666666666668E-9</v>
      </c>
      <c r="AP14" s="22">
        <f>IFERROR(s_TR/(up_RadSpec!J14*s_EF_cw*(1/365)*s_ED_con*s_ET_cw_o*(1/24)*s_GSF_a),".")</f>
        <v>9.344E-5</v>
      </c>
      <c r="AQ14" s="22">
        <f t="shared" si="10"/>
        <v>4.2664718506004295E-9</v>
      </c>
      <c r="AR14" s="43">
        <f t="shared" si="7"/>
        <v>2343.75</v>
      </c>
      <c r="AS14" s="43">
        <f t="shared" si="8"/>
        <v>0.10702054794520549</v>
      </c>
      <c r="AT14" s="10"/>
      <c r="AU14" s="10"/>
      <c r="AV14" s="10"/>
    </row>
    <row r="15" spans="1:48" x14ac:dyDescent="0.25">
      <c r="A15" s="23" t="s">
        <v>25</v>
      </c>
      <c r="B15" s="24" t="s">
        <v>289</v>
      </c>
      <c r="C15" s="2"/>
      <c r="D15" s="22">
        <f>IFERROR((s_TR/(up_RadSpec!I15*s_EF_cw*s_ED_con*s_IRS_cw*(1/1000)))*1,".")</f>
        <v>1.0666666666666667E-6</v>
      </c>
      <c r="E15" s="22">
        <f>IFERROR(IF(A15="H-3",(s_TR/(up_RadSpec!G15*s_EF_cw*s_ED_con*s_ET_cw_o*(1/24)*s_IRA_cw*(1/17)*1000))*1,(s_TR/(up_RadSpec!G15*s_EF_cw*s_ED_con*s_ET_cw_o*(1/24)*s_IRA_cw*(1/s_PEFsc)*1000))*1),".")</f>
        <v>2.1694802535592709E-6</v>
      </c>
      <c r="F15" s="22" t="str">
        <f>IFERROR((s_TR/(up_RadSpec!F15*s_EF_cw*(1/365)*s_ED_con*up_RadSpec!Q15*s_ET_cw_o*(1/24)*up_RadSpec!V15))*1,".")</f>
        <v>.</v>
      </c>
      <c r="G15" s="22">
        <f t="shared" si="0"/>
        <v>7.1508257427992738E-7</v>
      </c>
      <c r="H15" s="43">
        <f t="shared" si="1"/>
        <v>9.375</v>
      </c>
      <c r="I15" s="43">
        <f t="shared" si="2"/>
        <v>4.6093989487085221</v>
      </c>
      <c r="J15" s="43">
        <f>s_C*s_EF_cw*(1/365)*s_ED_con*(s_ET_cw_i+s_ET_cw_o)*(1/24)*up_RadSpec!V15*up_RadSpec!Q15*1</f>
        <v>0</v>
      </c>
      <c r="K15" s="4"/>
      <c r="L15" s="4"/>
      <c r="M15" s="4"/>
      <c r="N15" s="4"/>
      <c r="O15" s="22">
        <f>IFERROR((s_TR/(up_RadSpec!I15*s_EF_cw*s_ED_con*s_IRS_cw*(1/1000)))*1,".")</f>
        <v>1.0666666666666667E-6</v>
      </c>
      <c r="P15" s="22">
        <f>IFERROR(IF(A15="H-3",(s_TR/(up_RadSpec!G15*s_EF_cw*s_ED_con*s_ET_cw_o*(1/24)*s_IRA_cw*(1/17)*1000))*1,(s_TR/(up_RadSpec!G15*s_EF_cw*s_ED_con*s_ET_cw_o*(1/24)*s_IRA_cw*(1/s_PEF__sc)*1000))*1),".")</f>
        <v>1.3644722035813288E-5</v>
      </c>
      <c r="Q15" s="22" t="str">
        <f>IFERROR((s_TR/(up_RadSpec!F15*s_EF_cw*(1/365)*s_ED_con*up_RadSpec!Q15*s_ET_cw_o*(1/24)*up_RadSpec!V15))*1,".")</f>
        <v>.</v>
      </c>
      <c r="R15" s="22">
        <f t="shared" si="9"/>
        <v>9.893267363046894E-7</v>
      </c>
      <c r="S15" s="43">
        <f t="shared" si="4"/>
        <v>9.375</v>
      </c>
      <c r="T15" s="43">
        <f t="shared" si="5"/>
        <v>0.73288411253472296</v>
      </c>
      <c r="U15" s="43">
        <f>s_C*s_EF_cw*(1/365)*s_ED_con*(s_ET_cw_i+s_ET_cw_o)*(1/24)*up_RadSpec!V15*up_RadSpec!Q15*1</f>
        <v>0</v>
      </c>
      <c r="V15" s="11"/>
      <c r="W15" s="11"/>
      <c r="X15" s="11"/>
      <c r="Y15" s="11"/>
      <c r="Z15" s="22" t="str">
        <f>IFERROR((s_TR/(up_RadSpec!F15*s_EF_cw*(1/365)*s_ED_con*up_RadSpec!Q15*s_ET_cw_o*(1/24)*up_RadSpec!V15))*1,".")</f>
        <v>.</v>
      </c>
      <c r="AA15" s="22" t="str">
        <f>IFERROR((s_TR/(up_RadSpec!M15*s_EF_cw*(1/365)*s_ED_con*up_RadSpec!R15*s_ET_cw_o*(1/24)*up_RadSpec!W15))*1,".")</f>
        <v>.</v>
      </c>
      <c r="AB15" s="22" t="str">
        <f>IFERROR((s_TR/(up_RadSpec!N15*s_EF_cw*(1/365)*s_ED_con*up_RadSpec!S15*s_ET_cw_o*(1/24)*up_RadSpec!X15))*1,".")</f>
        <v>.</v>
      </c>
      <c r="AC15" s="22" t="str">
        <f>IFERROR((s_TR/(up_RadSpec!O15*s_EF_cw*(1/365)*s_ED_con*up_RadSpec!T15*s_ET_cw_o*(1/24)*up_RadSpec!Y15))*1,".")</f>
        <v>.</v>
      </c>
      <c r="AD15" s="22" t="str">
        <f>IFERROR((s_TR/(up_RadSpec!K15*s_EF_cw*(1/365)*s_ED_con*up_RadSpec!P15*s_ET_cw_o*(1/24)*up_RadSpec!U15))*1,".")</f>
        <v>.</v>
      </c>
      <c r="AE15" s="43">
        <f>s_C*s_EF_cw*(1/365)*s_ED_con*(s_ET_cw_i+s_ET_cw_o)*(1/24)*up_RadSpec!V15*up_RadSpec!Q15*1</f>
        <v>0</v>
      </c>
      <c r="AF15" s="43">
        <f>s_C*s_EF_cw*(1/365)*s_ED_con*(s_ET_cw_i+s_ET_cw_o)*(1/24)*up_RadSpec!W15*up_RadSpec!R15*1</f>
        <v>0</v>
      </c>
      <c r="AG15" s="43">
        <f>s_C*s_EF_cw*(1/365)*s_ED_con*(s_ET_cw_i+s_ET_cw_o)*(1/24)*up_RadSpec!X15*up_RadSpec!S15*1</f>
        <v>0</v>
      </c>
      <c r="AH15" s="43">
        <f>s_C*s_EF_cw*(1/365)*s_ED_con*(s_ET_cw_i+s_ET_cw_o)*(1/24)*up_RadSpec!Y15*up_RadSpec!T15*1</f>
        <v>0</v>
      </c>
      <c r="AI15" s="43">
        <f>s_C*s_EF_cw*(1/365)*s_ED_con*(s_ET_cw_i+s_ET_cw_o)*(1/24)*up_RadSpec!U15*up_RadSpec!P15*1</f>
        <v>0</v>
      </c>
      <c r="AJ15" s="11"/>
      <c r="AK15" s="11"/>
      <c r="AL15" s="11"/>
      <c r="AM15" s="11"/>
      <c r="AN15" s="11"/>
      <c r="AO15" s="22">
        <f>IFERROR(s_TR/(up_RadSpec!G15*s_EF_cw*s_ED_con*s_ET_cw_o*(1/24)*s_IRA_cw),".")</f>
        <v>4.2666666666666668E-9</v>
      </c>
      <c r="AP15" s="22">
        <f>IFERROR(s_TR/(up_RadSpec!J15*s_EF_cw*(1/365)*s_ED_con*s_ET_cw_o*(1/24)*s_GSF_a),".")</f>
        <v>9.344E-5</v>
      </c>
      <c r="AQ15" s="22">
        <f t="shared" si="10"/>
        <v>4.2664718506004295E-9</v>
      </c>
      <c r="AR15" s="43">
        <f t="shared" si="7"/>
        <v>2343.75</v>
      </c>
      <c r="AS15" s="43">
        <f t="shared" si="8"/>
        <v>0.10702054794520549</v>
      </c>
      <c r="AT15" s="10"/>
      <c r="AU15" s="10"/>
      <c r="AV15" s="10"/>
    </row>
    <row r="16" spans="1:48" x14ac:dyDescent="0.25">
      <c r="A16" s="23" t="s">
        <v>26</v>
      </c>
      <c r="B16" s="24" t="s">
        <v>289</v>
      </c>
      <c r="C16" s="109"/>
      <c r="D16" s="22">
        <f>IFERROR((s_TR/(up_RadSpec!I16*s_EF_cw*s_ED_con*s_IRS_cw*(1/1000)))*1,".")</f>
        <v>1.0666666666666667E-6</v>
      </c>
      <c r="E16" s="22">
        <f>IFERROR(IF(A16="H-3",(s_TR/(up_RadSpec!G16*s_EF_cw*s_ED_con*s_ET_cw_o*(1/24)*s_IRA_cw*(1/17)*1000))*1,(s_TR/(up_RadSpec!G16*s_EF_cw*s_ED_con*s_ET_cw_o*(1/24)*s_IRA_cw*(1/s_PEFsc)*1000))*1),".")</f>
        <v>2.1694802535592709E-6</v>
      </c>
      <c r="F16" s="22">
        <f>IFERROR((s_TR/(up_RadSpec!F16*s_EF_cw*(1/365)*s_ED_con*up_RadSpec!Q16*s_ET_cw_o*(1/24)*up_RadSpec!V16))*1,".")</f>
        <v>11.21921097770155</v>
      </c>
      <c r="G16" s="22">
        <f t="shared" si="0"/>
        <v>7.15082528702475E-7</v>
      </c>
      <c r="H16" s="43">
        <f t="shared" si="1"/>
        <v>9.375</v>
      </c>
      <c r="I16" s="43">
        <f t="shared" si="2"/>
        <v>4.6093989487085221</v>
      </c>
      <c r="J16" s="43">
        <f>s_C*s_EF_cw*(1/365)*s_ED_con*(s_ET_cw_i+s_ET_cw_o)*(1/24)*up_RadSpec!V16*up_RadSpec!Q16*1</f>
        <v>8.9132827788649677E-7</v>
      </c>
      <c r="K16" s="4"/>
      <c r="L16" s="4"/>
      <c r="M16" s="4"/>
      <c r="N16" s="4"/>
      <c r="O16" s="22">
        <f>IFERROR((s_TR/(up_RadSpec!I16*s_EF_cw*s_ED_con*s_IRS_cw*(1/1000)))*1,".")</f>
        <v>1.0666666666666667E-6</v>
      </c>
      <c r="P16" s="22">
        <f>IFERROR(IF(A16="H-3",(s_TR/(up_RadSpec!G16*s_EF_cw*s_ED_con*s_ET_cw_o*(1/24)*s_IRA_cw*(1/17)*1000))*1,(s_TR/(up_RadSpec!G16*s_EF_cw*s_ED_con*s_ET_cw_o*(1/24)*s_IRA_cw*(1/s_PEF__sc)*1000))*1),".")</f>
        <v>1.3644722035813288E-5</v>
      </c>
      <c r="Q16" s="22">
        <f>IFERROR((s_TR/(up_RadSpec!F16*s_EF_cw*(1/365)*s_ED_con*up_RadSpec!Q16*s_ET_cw_o*(1/24)*up_RadSpec!V16))*1,".")</f>
        <v>11.21921097770155</v>
      </c>
      <c r="R16" s="22">
        <f t="shared" si="9"/>
        <v>9.8932664906439187E-7</v>
      </c>
      <c r="S16" s="43">
        <f t="shared" si="4"/>
        <v>9.375</v>
      </c>
      <c r="T16" s="43">
        <f t="shared" si="5"/>
        <v>0.73288411253472296</v>
      </c>
      <c r="U16" s="43">
        <f>s_C*s_EF_cw*(1/365)*s_ED_con*(s_ET_cw_i+s_ET_cw_o)*(1/24)*up_RadSpec!V16*up_RadSpec!Q16*1</f>
        <v>8.9132827788649677E-7</v>
      </c>
      <c r="V16" s="11"/>
      <c r="W16" s="11"/>
      <c r="X16" s="11"/>
      <c r="Y16" s="11"/>
      <c r="Z16" s="22">
        <f>IFERROR((s_TR/(up_RadSpec!F16*s_EF_cw*(1/365)*s_ED_con*up_RadSpec!Q16*s_ET_cw_o*(1/24)*up_RadSpec!V16))*1,".")</f>
        <v>11.21921097770155</v>
      </c>
      <c r="AA16" s="22">
        <f>IFERROR((s_TR/(up_RadSpec!M16*s_EF_cw*(1/365)*s_ED_con*up_RadSpec!R16*s_ET_cw_o*(1/24)*up_RadSpec!W16))*1,".")</f>
        <v>19.981029810298111</v>
      </c>
      <c r="AB16" s="22">
        <f>IFERROR((s_TR/(up_RadSpec!N16*s_EF_cw*(1/365)*s_ED_con*up_RadSpec!S16*s_ET_cw_o*(1/24)*up_RadSpec!X16))*1,".")</f>
        <v>12.003402482423406</v>
      </c>
      <c r="AC16" s="22">
        <f>IFERROR((s_TR/(up_RadSpec!O16*s_EF_cw*(1/365)*s_ED_con*up_RadSpec!T16*s_ET_cw_o*(1/24)*up_RadSpec!Y16))*1,".")</f>
        <v>12.065423242467727</v>
      </c>
      <c r="AD16" s="22">
        <f>IFERROR((s_TR/(up_RadSpec!K16*s_EF_cw*(1/365)*s_ED_con*up_RadSpec!P16*s_ET_cw_o*(1/24)*up_RadSpec!U16))*1,".")</f>
        <v>467.2</v>
      </c>
      <c r="AE16" s="43">
        <f>s_C*s_EF_cw*(1/365)*s_ED_con*(s_ET_cw_i+s_ET_cw_o)*(1/24)*up_RadSpec!V16*up_RadSpec!Q16*1</f>
        <v>8.9132827788649677E-7</v>
      </c>
      <c r="AF16" s="43">
        <f>s_C*s_EF_cw*(1/365)*s_ED_con*(s_ET_cw_i+s_ET_cw_o)*(1/24)*up_RadSpec!W16*up_RadSpec!R16*1</f>
        <v>5.0047470500474693E-7</v>
      </c>
      <c r="AG16" s="43">
        <f>s_C*s_EF_cw*(1/365)*s_ED_con*(s_ET_cw_i+s_ET_cw_o)*(1/24)*up_RadSpec!X16*up_RadSpec!S16*1</f>
        <v>8.3309711680858912E-7</v>
      </c>
      <c r="AH16" s="43">
        <f>s_C*s_EF_cw*(1/365)*s_ED_con*(s_ET_cw_i+s_ET_cw_o)*(1/24)*up_RadSpec!Y16*up_RadSpec!T16*1</f>
        <v>8.2881468797564646E-7</v>
      </c>
      <c r="AI16" s="43">
        <f>s_C*s_EF_cw*(1/365)*s_ED_con*(s_ET_cw_i+s_ET_cw_o)*(1/24)*up_RadSpec!U16*up_RadSpec!P16*1</f>
        <v>2.1404109589041097E-8</v>
      </c>
      <c r="AJ16" s="11"/>
      <c r="AK16" s="11"/>
      <c r="AL16" s="11"/>
      <c r="AM16" s="11"/>
      <c r="AN16" s="11"/>
      <c r="AO16" s="22">
        <f>IFERROR(s_TR/(up_RadSpec!G16*s_EF_cw*s_ED_con*s_ET_cw_o*(1/24)*s_IRA_cw),".")</f>
        <v>4.2666666666666668E-9</v>
      </c>
      <c r="AP16" s="22">
        <f>IFERROR(s_TR/(up_RadSpec!J16*s_EF_cw*(1/365)*s_ED_con*s_ET_cw_o*(1/24)*s_GSF_a),".")</f>
        <v>9.344E-5</v>
      </c>
      <c r="AQ16" s="22">
        <f t="shared" si="10"/>
        <v>4.2664718506004295E-9</v>
      </c>
      <c r="AR16" s="43">
        <f t="shared" si="7"/>
        <v>2343.75</v>
      </c>
      <c r="AS16" s="43">
        <f t="shared" si="8"/>
        <v>0.10702054794520549</v>
      </c>
      <c r="AT16" s="10"/>
      <c r="AU16" s="10"/>
      <c r="AV16" s="10"/>
    </row>
    <row r="17" spans="1:48" x14ac:dyDescent="0.25">
      <c r="A17" s="23" t="s">
        <v>27</v>
      </c>
      <c r="B17" s="24" t="s">
        <v>289</v>
      </c>
      <c r="C17" s="109"/>
      <c r="D17" s="22">
        <f>IFERROR((s_TR/(up_RadSpec!I17*s_EF_cw*s_ED_con*s_IRS_cw*(1/1000)))*1,".")</f>
        <v>1.0666666666666667E-6</v>
      </c>
      <c r="E17" s="22">
        <f>IFERROR(IF(A17="H-3",(s_TR/(up_RadSpec!G17*s_EF_cw*s_ED_con*s_ET_cw_o*(1/24)*s_IRA_cw*(1/17)*1000))*1,(s_TR/(up_RadSpec!G17*s_EF_cw*s_ED_con*s_ET_cw_o*(1/24)*s_IRA_cw*(1/s_PEFsc)*1000))*1),".")</f>
        <v>2.1694802535592709E-6</v>
      </c>
      <c r="F17" s="22">
        <f>IFERROR((s_TR/(up_RadSpec!F17*s_EF_cw*(1/365)*s_ED_con*up_RadSpec!Q17*s_ET_cw_o*(1/24)*up_RadSpec!V17))*1,".")</f>
        <v>1.0314805194805189E-3</v>
      </c>
      <c r="G17" s="22">
        <f t="shared" si="0"/>
        <v>7.1458718068687107E-7</v>
      </c>
      <c r="H17" s="43">
        <f t="shared" si="1"/>
        <v>9.375</v>
      </c>
      <c r="I17" s="43">
        <f t="shared" si="2"/>
        <v>4.6093989487085221</v>
      </c>
      <c r="J17" s="43">
        <f>s_C*s_EF_cw*(1/365)*s_ED_con*(s_ET_cw_i+s_ET_cw_o)*(1/24)*up_RadSpec!V17*up_RadSpec!Q17*1</f>
        <v>9.6948025785656786E-3</v>
      </c>
      <c r="K17" s="4"/>
      <c r="L17" s="4"/>
      <c r="M17" s="4"/>
      <c r="N17" s="4"/>
      <c r="O17" s="22">
        <f>IFERROR((s_TR/(up_RadSpec!I17*s_EF_cw*s_ED_con*s_IRS_cw*(1/1000)))*1,".")</f>
        <v>1.0666666666666667E-6</v>
      </c>
      <c r="P17" s="22">
        <f>IFERROR(IF(A17="H-3",(s_TR/(up_RadSpec!G17*s_EF_cw*s_ED_con*s_ET_cw_o*(1/24)*s_IRA_cw*(1/17)*1000))*1,(s_TR/(up_RadSpec!G17*s_EF_cw*s_ED_con*s_ET_cw_o*(1/24)*s_IRA_cw*(1/s_PEF__sc)*1000))*1),".")</f>
        <v>1.3644722035813288E-5</v>
      </c>
      <c r="Q17" s="22">
        <f>IFERROR((s_TR/(up_RadSpec!F17*s_EF_cw*(1/365)*s_ED_con*up_RadSpec!Q17*s_ET_cw_o*(1/24)*up_RadSpec!V17))*1,".")</f>
        <v>1.0314805194805189E-3</v>
      </c>
      <c r="R17" s="22">
        <f t="shared" si="9"/>
        <v>9.8837874988672896E-7</v>
      </c>
      <c r="S17" s="43">
        <f t="shared" si="4"/>
        <v>9.375</v>
      </c>
      <c r="T17" s="43">
        <f t="shared" si="5"/>
        <v>0.73288411253472296</v>
      </c>
      <c r="U17" s="43">
        <f>s_C*s_EF_cw*(1/365)*s_ED_con*(s_ET_cw_i+s_ET_cw_o)*(1/24)*up_RadSpec!V17*up_RadSpec!Q17*1</f>
        <v>9.6948025785656786E-3</v>
      </c>
      <c r="V17" s="11"/>
      <c r="W17" s="11"/>
      <c r="X17" s="11"/>
      <c r="Y17" s="11"/>
      <c r="Z17" s="22">
        <f>IFERROR((s_TR/(up_RadSpec!F17*s_EF_cw*(1/365)*s_ED_con*up_RadSpec!Q17*s_ET_cw_o*(1/24)*up_RadSpec!V17))*1,".")</f>
        <v>1.0314805194805189E-3</v>
      </c>
      <c r="AA17" s="22">
        <f>IFERROR((s_TR/(up_RadSpec!M17*s_EF_cw*(1/365)*s_ED_con*up_RadSpec!R17*s_ET_cw_o*(1/24)*up_RadSpec!W17))*1,".")</f>
        <v>1.8027279253409912E-3</v>
      </c>
      <c r="AB17" s="22">
        <f>IFERROR((s_TR/(up_RadSpec!N17*s_EF_cw*(1/365)*s_ED_con*up_RadSpec!S17*s_ET_cw_o*(1/24)*up_RadSpec!X17))*1,".")</f>
        <v>1.3582012264365206E-3</v>
      </c>
      <c r="AC17" s="22">
        <f>IFERROR((s_TR/(up_RadSpec!O17*s_EF_cw*(1/365)*s_ED_con*up_RadSpec!T17*s_ET_cw_o*(1/24)*up_RadSpec!Y17))*1,".")</f>
        <v>1.2077552778974577E-3</v>
      </c>
      <c r="AD17" s="22">
        <f>IFERROR((s_TR/(up_RadSpec!K17*s_EF_cw*(1/365)*s_ED_con*up_RadSpec!P17*s_ET_cw_o*(1/24)*up_RadSpec!U17))*1,".")</f>
        <v>3.4542720664589828E-3</v>
      </c>
      <c r="AE17" s="43">
        <f>s_C*s_EF_cw*(1/365)*s_ED_con*(s_ET_cw_i+s_ET_cw_o)*(1/24)*up_RadSpec!V17*up_RadSpec!Q17*1</f>
        <v>9.6948025785656786E-3</v>
      </c>
      <c r="AF17" s="43">
        <f>s_C*s_EF_cw*(1/365)*s_ED_con*(s_ET_cw_i+s_ET_cw_o)*(1/24)*up_RadSpec!W17*up_RadSpec!R17*1</f>
        <v>5.5471487734947431E-3</v>
      </c>
      <c r="AG17" s="43">
        <f>s_C*s_EF_cw*(1/365)*s_ED_con*(s_ET_cw_i+s_ET_cw_o)*(1/24)*up_RadSpec!X17*up_RadSpec!S17*1</f>
        <v>7.3626792594178089E-3</v>
      </c>
      <c r="AH17" s="43">
        <f>s_C*s_EF_cw*(1/365)*s_ED_con*(s_ET_cw_i+s_ET_cw_o)*(1/24)*up_RadSpec!Y17*up_RadSpec!T17*1</f>
        <v>8.2798230593607355E-3</v>
      </c>
      <c r="AI17" s="43">
        <f>s_C*s_EF_cw*(1/365)*s_ED_con*(s_ET_cw_i+s_ET_cw_o)*(1/24)*up_RadSpec!U17*up_RadSpec!P17*1</f>
        <v>2.8949659458211486E-3</v>
      </c>
      <c r="AJ17" s="11"/>
      <c r="AK17" s="11"/>
      <c r="AL17" s="11"/>
      <c r="AM17" s="11"/>
      <c r="AN17" s="11"/>
      <c r="AO17" s="22">
        <f>IFERROR(s_TR/(up_RadSpec!G17*s_EF_cw*s_ED_con*s_ET_cw_o*(1/24)*s_IRA_cw),".")</f>
        <v>4.2666666666666668E-9</v>
      </c>
      <c r="AP17" s="22">
        <f>IFERROR(s_TR/(up_RadSpec!J17*s_EF_cw*(1/365)*s_ED_con*s_ET_cw_o*(1/24)*s_GSF_a),".")</f>
        <v>9.344E-5</v>
      </c>
      <c r="AQ17" s="22">
        <f t="shared" si="10"/>
        <v>4.2664718506004295E-9</v>
      </c>
      <c r="AR17" s="43">
        <f t="shared" si="7"/>
        <v>2343.75</v>
      </c>
      <c r="AS17" s="43">
        <f t="shared" si="8"/>
        <v>0.10702054794520549</v>
      </c>
      <c r="AT17" s="10"/>
      <c r="AU17" s="10"/>
      <c r="AV17" s="10"/>
    </row>
    <row r="18" spans="1:48" x14ac:dyDescent="0.25">
      <c r="A18" s="23" t="s">
        <v>28</v>
      </c>
      <c r="B18" s="24" t="s">
        <v>289</v>
      </c>
      <c r="C18" s="109"/>
      <c r="D18" s="22">
        <f>IFERROR((s_TR/(up_RadSpec!I18*s_EF_cw*s_ED_con*s_IRS_cw*(1/1000)))*1,".")</f>
        <v>1.0666666666666667E-6</v>
      </c>
      <c r="E18" s="22">
        <f>IFERROR(IF(A18="H-3",(s_TR/(up_RadSpec!G18*s_EF_cw*s_ED_con*s_ET_cw_o*(1/24)*s_IRA_cw*(1/17)*1000))*1,(s_TR/(up_RadSpec!G18*s_EF_cw*s_ED_con*s_ET_cw_o*(1/24)*s_IRA_cw*(1/s_PEFsc)*1000))*1),".")</f>
        <v>2.1694802535592709E-6</v>
      </c>
      <c r="F18" s="22">
        <f>IFERROR((s_TR/(up_RadSpec!F18*s_EF_cw*(1/365)*s_ED_con*up_RadSpec!Q18*s_ET_cw_o*(1/24)*up_RadSpec!V18))*1,".")</f>
        <v>5.2534687306501557E-4</v>
      </c>
      <c r="G18" s="22">
        <f t="shared" si="0"/>
        <v>7.1411055362236553E-7</v>
      </c>
      <c r="H18" s="43">
        <f t="shared" si="1"/>
        <v>9.375</v>
      </c>
      <c r="I18" s="43">
        <f t="shared" si="2"/>
        <v>4.6093989487085221</v>
      </c>
      <c r="J18" s="43">
        <f>s_C*s_EF_cw*(1/365)*s_ED_con*(s_ET_cw_i+s_ET_cw_o)*(1/24)*up_RadSpec!V18*up_RadSpec!Q18*1</f>
        <v>1.9035042393337757E-2</v>
      </c>
      <c r="K18" s="4"/>
      <c r="L18" s="4"/>
      <c r="M18" s="4"/>
      <c r="N18" s="4"/>
      <c r="O18" s="22">
        <f>IFERROR((s_TR/(up_RadSpec!I18*s_EF_cw*s_ED_con*s_IRS_cw*(1/1000)))*1,".")</f>
        <v>1.0666666666666667E-6</v>
      </c>
      <c r="P18" s="22">
        <f>IFERROR(IF(A18="H-3",(s_TR/(up_RadSpec!G18*s_EF_cw*s_ED_con*s_ET_cw_o*(1/24)*s_IRA_cw*(1/17)*1000))*1,(s_TR/(up_RadSpec!G18*s_EF_cw*s_ED_con*s_ET_cw_o*(1/24)*s_IRA_cw*(1/s_PEF__sc)*1000))*1),".")</f>
        <v>1.3644722035813288E-5</v>
      </c>
      <c r="Q18" s="22">
        <f>IFERROR((s_TR/(up_RadSpec!F18*s_EF_cw*(1/365)*s_ED_con*up_RadSpec!Q18*s_ET_cw_o*(1/24)*up_RadSpec!V18))*1,".")</f>
        <v>5.2534687306501557E-4</v>
      </c>
      <c r="R18" s="22">
        <f t="shared" si="9"/>
        <v>9.8746715037551186E-7</v>
      </c>
      <c r="S18" s="43">
        <f t="shared" si="4"/>
        <v>9.375</v>
      </c>
      <c r="T18" s="43">
        <f t="shared" si="5"/>
        <v>0.73288411253472296</v>
      </c>
      <c r="U18" s="43">
        <f>s_C*s_EF_cw*(1/365)*s_ED_con*(s_ET_cw_i+s_ET_cw_o)*(1/24)*up_RadSpec!V18*up_RadSpec!Q18*1</f>
        <v>1.9035042393337757E-2</v>
      </c>
      <c r="V18" s="11"/>
      <c r="W18" s="11"/>
      <c r="X18" s="11"/>
      <c r="Y18" s="11"/>
      <c r="Z18" s="22">
        <f>IFERROR((s_TR/(up_RadSpec!F18*s_EF_cw*(1/365)*s_ED_con*up_RadSpec!Q18*s_ET_cw_o*(1/24)*up_RadSpec!V18))*1,".")</f>
        <v>5.2534687306501557E-4</v>
      </c>
      <c r="AA18" s="22">
        <f>IFERROR((s_TR/(up_RadSpec!M18*s_EF_cw*(1/365)*s_ED_con*up_RadSpec!R18*s_ET_cw_o*(1/24)*up_RadSpec!W18))*1,".")</f>
        <v>1.0395089707271011E-3</v>
      </c>
      <c r="AB18" s="22">
        <f>IFERROR((s_TR/(up_RadSpec!N18*s_EF_cw*(1/365)*s_ED_con*up_RadSpec!S18*s_ET_cw_o*(1/24)*up_RadSpec!X18))*1,".")</f>
        <v>7.2796352997210319E-4</v>
      </c>
      <c r="AC18" s="22">
        <f>IFERROR((s_TR/(up_RadSpec!O18*s_EF_cw*(1/365)*s_ED_con*up_RadSpec!T18*s_ET_cw_o*(1/24)*up_RadSpec!Y18))*1,".")</f>
        <v>6.0313093172772764E-4</v>
      </c>
      <c r="AD18" s="22">
        <f>IFERROR((s_TR/(up_RadSpec!K18*s_EF_cw*(1/365)*s_ED_con*up_RadSpec!P18*s_ET_cw_o*(1/24)*up_RadSpec!U18))*1,".")</f>
        <v>1.7669743589743586E-3</v>
      </c>
      <c r="AE18" s="43">
        <f>s_C*s_EF_cw*(1/365)*s_ED_con*(s_ET_cw_i+s_ET_cw_o)*(1/24)*up_RadSpec!V18*up_RadSpec!Q18*1</f>
        <v>1.9035042393337757E-2</v>
      </c>
      <c r="AF18" s="43">
        <f>s_C*s_EF_cw*(1/365)*s_ED_con*(s_ET_cw_i+s_ET_cw_o)*(1/24)*up_RadSpec!W18*up_RadSpec!R18*1</f>
        <v>9.6199266015043056E-3</v>
      </c>
      <c r="AG18" s="43">
        <f>s_C*s_EF_cw*(1/365)*s_ED_con*(s_ET_cw_i+s_ET_cw_o)*(1/24)*up_RadSpec!X18*up_RadSpec!S18*1</f>
        <v>1.3736951905246157E-2</v>
      </c>
      <c r="AH18" s="43">
        <f>s_C*s_EF_cw*(1/365)*s_ED_con*(s_ET_cw_i+s_ET_cw_o)*(1/24)*up_RadSpec!Y18*up_RadSpec!T18*1</f>
        <v>1.6580147815257996E-2</v>
      </c>
      <c r="AI18" s="43">
        <f>s_C*s_EF_cw*(1/365)*s_ED_con*(s_ET_cw_i+s_ET_cw_o)*(1/24)*up_RadSpec!U18*up_RadSpec!P18*1</f>
        <v>5.6593916879498505E-3</v>
      </c>
      <c r="AJ18" s="11"/>
      <c r="AK18" s="11"/>
      <c r="AL18" s="11"/>
      <c r="AM18" s="11"/>
      <c r="AN18" s="11"/>
      <c r="AO18" s="22">
        <f>IFERROR(s_TR/(up_RadSpec!G18*s_EF_cw*s_ED_con*s_ET_cw_o*(1/24)*s_IRA_cw),".")</f>
        <v>4.2666666666666668E-9</v>
      </c>
      <c r="AP18" s="22">
        <f>IFERROR(s_TR/(up_RadSpec!J18*s_EF_cw*(1/365)*s_ED_con*s_ET_cw_o*(1/24)*s_GSF_a),".")</f>
        <v>9.344E-5</v>
      </c>
      <c r="AQ18" s="22">
        <f t="shared" si="10"/>
        <v>4.2664718506004295E-9</v>
      </c>
      <c r="AR18" s="43">
        <f t="shared" si="7"/>
        <v>2343.75</v>
      </c>
      <c r="AS18" s="43">
        <f t="shared" si="8"/>
        <v>0.10702054794520549</v>
      </c>
      <c r="AT18" s="10"/>
      <c r="AU18" s="10"/>
      <c r="AV18" s="10"/>
    </row>
    <row r="19" spans="1:48" x14ac:dyDescent="0.25">
      <c r="A19" s="23" t="s">
        <v>29</v>
      </c>
      <c r="B19" s="24" t="s">
        <v>289</v>
      </c>
      <c r="C19" s="2"/>
      <c r="D19" s="22">
        <f>IFERROR((s_TR/(up_RadSpec!I19*s_EF_cw*s_ED_con*s_IRS_cw*(1/1000)))*1,".")</f>
        <v>1.0666666666666667E-6</v>
      </c>
      <c r="E19" s="22">
        <f>IFERROR(IF(A19="H-3",(s_TR/(up_RadSpec!G19*s_EF_cw*s_ED_con*s_ET_cw_o*(1/24)*s_IRA_cw*(1/17)*1000))*1,(s_TR/(up_RadSpec!G19*s_EF_cw*s_ED_con*s_ET_cw_o*(1/24)*s_IRA_cw*(1/s_PEFsc)*1000))*1),".")</f>
        <v>2.1694802535592709E-6</v>
      </c>
      <c r="F19" s="22">
        <f>IFERROR((s_TR/(up_RadSpec!F19*s_EF_cw*(1/365)*s_ED_con*up_RadSpec!Q19*s_ET_cw_o*(1/24)*up_RadSpec!V19))*1,".")</f>
        <v>5.360608444794126E-4</v>
      </c>
      <c r="G19" s="22">
        <f t="shared" si="0"/>
        <v>7.141299550169036E-7</v>
      </c>
      <c r="H19" s="43">
        <f t="shared" si="1"/>
        <v>9.375</v>
      </c>
      <c r="I19" s="43">
        <f t="shared" si="2"/>
        <v>4.6093989487085221</v>
      </c>
      <c r="J19" s="43">
        <f>s_C*s_EF_cw*(1/365)*s_ED_con*(s_ET_cw_i+s_ET_cw_o)*(1/24)*up_RadSpec!V19*up_RadSpec!Q19*1</f>
        <v>1.8654598825831703E-2</v>
      </c>
      <c r="K19" s="4"/>
      <c r="L19" s="4"/>
      <c r="M19" s="4"/>
      <c r="N19" s="4"/>
      <c r="O19" s="22">
        <f>IFERROR((s_TR/(up_RadSpec!I19*s_EF_cw*s_ED_con*s_IRS_cw*(1/1000)))*1,".")</f>
        <v>1.0666666666666667E-6</v>
      </c>
      <c r="P19" s="22">
        <f>IFERROR(IF(A19="H-3",(s_TR/(up_RadSpec!G19*s_EF_cw*s_ED_con*s_ET_cw_o*(1/24)*s_IRA_cw*(1/17)*1000))*1,(s_TR/(up_RadSpec!G19*s_EF_cw*s_ED_con*s_ET_cw_o*(1/24)*s_IRA_cw*(1/s_PEF__sc)*1000))*1),".")</f>
        <v>1.3644722035813288E-5</v>
      </c>
      <c r="Q19" s="22">
        <f>IFERROR((s_TR/(up_RadSpec!F19*s_EF_cw*(1/365)*s_ED_con*up_RadSpec!Q19*s_ET_cw_o*(1/24)*up_RadSpec!V19))*1,".")</f>
        <v>5.360608444794126E-4</v>
      </c>
      <c r="R19" s="22">
        <f t="shared" si="9"/>
        <v>9.8750424849325907E-7</v>
      </c>
      <c r="S19" s="43">
        <f t="shared" si="4"/>
        <v>9.375</v>
      </c>
      <c r="T19" s="43">
        <f t="shared" si="5"/>
        <v>0.73288411253472296</v>
      </c>
      <c r="U19" s="43">
        <f>s_C*s_EF_cw*(1/365)*s_ED_con*(s_ET_cw_i+s_ET_cw_o)*(1/24)*up_RadSpec!V19*up_RadSpec!Q19*1</f>
        <v>1.8654598825831703E-2</v>
      </c>
      <c r="V19" s="11"/>
      <c r="W19" s="11"/>
      <c r="X19" s="11"/>
      <c r="Y19" s="11"/>
      <c r="Z19" s="22">
        <f>IFERROR((s_TR/(up_RadSpec!F19*s_EF_cw*(1/365)*s_ED_con*up_RadSpec!Q19*s_ET_cw_o*(1/24)*up_RadSpec!V19))*1,".")</f>
        <v>5.360608444794126E-4</v>
      </c>
      <c r="AA19" s="22">
        <f>IFERROR((s_TR/(up_RadSpec!M19*s_EF_cw*(1/365)*s_ED_con*up_RadSpec!R19*s_ET_cw_o*(1/24)*up_RadSpec!W19))*1,".")</f>
        <v>1.0632250019484064E-3</v>
      </c>
      <c r="AB19" s="22">
        <f>IFERROR((s_TR/(up_RadSpec!N19*s_EF_cw*(1/365)*s_ED_con*up_RadSpec!S19*s_ET_cw_o*(1/24)*up_RadSpec!X19))*1,".")</f>
        <v>7.3702673796791475E-4</v>
      </c>
      <c r="AC19" s="22">
        <f>IFERROR((s_TR/(up_RadSpec!O19*s_EF_cw*(1/365)*s_ED_con*up_RadSpec!T19*s_ET_cw_o*(1/24)*up_RadSpec!Y19))*1,".")</f>
        <v>6.155675675675673E-4</v>
      </c>
      <c r="AD19" s="22">
        <f>IFERROR((s_TR/(up_RadSpec!K19*s_EF_cw*(1/365)*s_ED_con*up_RadSpec!P19*s_ET_cw_o*(1/24)*up_RadSpec!U19))*1,".")</f>
        <v>1.8309027124155056E-3</v>
      </c>
      <c r="AE19" s="43">
        <f>s_C*s_EF_cw*(1/365)*s_ED_con*(s_ET_cw_i+s_ET_cw_o)*(1/24)*up_RadSpec!V19*up_RadSpec!Q19*1</f>
        <v>1.8654598825831703E-2</v>
      </c>
      <c r="AF19" s="43">
        <f>s_C*s_EF_cw*(1/365)*s_ED_con*(s_ET_cw_i+s_ET_cw_o)*(1/24)*up_RadSpec!W19*up_RadSpec!R19*1</f>
        <v>9.4053469224995301E-3</v>
      </c>
      <c r="AG19" s="43">
        <f>s_C*s_EF_cw*(1/365)*s_ED_con*(s_ET_cw_i+s_ET_cw_o)*(1/24)*up_RadSpec!X19*up_RadSpec!S19*1</f>
        <v>1.35680287903413E-2</v>
      </c>
      <c r="AH19" s="43">
        <f>s_C*s_EF_cw*(1/365)*s_ED_con*(s_ET_cw_i+s_ET_cw_o)*(1/24)*up_RadSpec!Y19*up_RadSpec!T19*1</f>
        <v>1.6245170354759402E-2</v>
      </c>
      <c r="AI19" s="43">
        <f>s_C*s_EF_cw*(1/365)*s_ED_con*(s_ET_cw_i+s_ET_cw_o)*(1/24)*up_RadSpec!U19*up_RadSpec!P19*1</f>
        <v>5.4617866543039996E-3</v>
      </c>
      <c r="AJ19" s="11"/>
      <c r="AK19" s="11"/>
      <c r="AL19" s="11"/>
      <c r="AM19" s="11"/>
      <c r="AN19" s="11"/>
      <c r="AO19" s="22">
        <f>IFERROR(s_TR/(up_RadSpec!G19*s_EF_cw*s_ED_con*s_ET_cw_o*(1/24)*s_IRA_cw),".")</f>
        <v>4.2666666666666668E-9</v>
      </c>
      <c r="AP19" s="22">
        <f>IFERROR(s_TR/(up_RadSpec!J19*s_EF_cw*(1/365)*s_ED_con*s_ET_cw_o*(1/24)*s_GSF_a),".")</f>
        <v>9.344E-5</v>
      </c>
      <c r="AQ19" s="22">
        <f t="shared" si="10"/>
        <v>4.2664718506004295E-9</v>
      </c>
      <c r="AR19" s="43">
        <f t="shared" si="7"/>
        <v>2343.75</v>
      </c>
      <c r="AS19" s="43">
        <f t="shared" si="8"/>
        <v>0.10702054794520549</v>
      </c>
      <c r="AT19" s="10"/>
      <c r="AU19" s="10"/>
      <c r="AV19" s="10"/>
    </row>
    <row r="20" spans="1:48" x14ac:dyDescent="0.25">
      <c r="A20" s="23" t="s">
        <v>30</v>
      </c>
      <c r="B20" s="24" t="s">
        <v>289</v>
      </c>
      <c r="C20" s="109"/>
      <c r="D20" s="22">
        <f>IFERROR((s_TR/(up_RadSpec!I20*s_EF_cw*s_ED_con*s_IRS_cw*(1/1000)))*1,".")</f>
        <v>1.0666666666666667E-6</v>
      </c>
      <c r="E20" s="22">
        <f>IFERROR(IF(A20="H-3",(s_TR/(up_RadSpec!G20*s_EF_cw*s_ED_con*s_ET_cw_o*(1/24)*s_IRA_cw*(1/17)*1000))*1,(s_TR/(up_RadSpec!G20*s_EF_cw*s_ED_con*s_ET_cw_o*(1/24)*s_IRA_cw*(1/s_PEFsc)*1000))*1),".")</f>
        <v>2.1694802535592709E-6</v>
      </c>
      <c r="F20" s="22">
        <f>IFERROR((s_TR/(up_RadSpec!F20*s_EF_cw*(1/365)*s_ED_con*up_RadSpec!Q20*s_ET_cw_o*(1/24)*up_RadSpec!V20))*1,".")</f>
        <v>5.2711136958418121E-4</v>
      </c>
      <c r="G20" s="22">
        <f t="shared" si="0"/>
        <v>7.1411380303713018E-7</v>
      </c>
      <c r="H20" s="43">
        <f t="shared" si="1"/>
        <v>9.375</v>
      </c>
      <c r="I20" s="43">
        <f t="shared" si="2"/>
        <v>4.6093989487085221</v>
      </c>
      <c r="J20" s="43">
        <f>s_C*s_EF_cw*(1/365)*s_ED_con*(s_ET_cw_i+s_ET_cw_o)*(1/24)*up_RadSpec!V20*up_RadSpec!Q20*1</f>
        <v>1.8971322906369166E-2</v>
      </c>
      <c r="K20" s="4"/>
      <c r="L20" s="4"/>
      <c r="M20" s="4"/>
      <c r="N20" s="4"/>
      <c r="O20" s="22">
        <f>IFERROR((s_TR/(up_RadSpec!I20*s_EF_cw*s_ED_con*s_IRS_cw*(1/1000)))*1,".")</f>
        <v>1.0666666666666667E-6</v>
      </c>
      <c r="P20" s="22">
        <f>IFERROR(IF(A20="H-3",(s_TR/(up_RadSpec!G20*s_EF_cw*s_ED_con*s_ET_cw_o*(1/24)*s_IRA_cw*(1/17)*1000))*1,(s_TR/(up_RadSpec!G20*s_EF_cw*s_ED_con*s_ET_cw_o*(1/24)*s_IRA_cw*(1/s_PEF__sc)*1000))*1),".")</f>
        <v>1.3644722035813288E-5</v>
      </c>
      <c r="Q20" s="22">
        <f>IFERROR((s_TR/(up_RadSpec!F20*s_EF_cw*(1/365)*s_ED_con*up_RadSpec!Q20*s_ET_cw_o*(1/24)*up_RadSpec!V20))*1,".")</f>
        <v>5.2711136958418121E-4</v>
      </c>
      <c r="R20" s="22">
        <f t="shared" si="9"/>
        <v>9.8747336364681036E-7</v>
      </c>
      <c r="S20" s="43">
        <f t="shared" si="4"/>
        <v>9.375</v>
      </c>
      <c r="T20" s="43">
        <f t="shared" si="5"/>
        <v>0.73288411253472296</v>
      </c>
      <c r="U20" s="43">
        <f>s_C*s_EF_cw*(1/365)*s_ED_con*(s_ET_cw_i+s_ET_cw_o)*(1/24)*up_RadSpec!V20*up_RadSpec!Q20*1</f>
        <v>1.8971322906369166E-2</v>
      </c>
      <c r="V20" s="11"/>
      <c r="W20" s="11"/>
      <c r="X20" s="11"/>
      <c r="Y20" s="11"/>
      <c r="Z20" s="22">
        <f>IFERROR((s_TR/(up_RadSpec!F20*s_EF_cw*(1/365)*s_ED_con*up_RadSpec!Q20*s_ET_cw_o*(1/24)*up_RadSpec!V20))*1,".")</f>
        <v>5.2711136958418121E-4</v>
      </c>
      <c r="AA20" s="22">
        <f>IFERROR((s_TR/(up_RadSpec!M20*s_EF_cw*(1/365)*s_ED_con*up_RadSpec!R20*s_ET_cw_o*(1/24)*up_RadSpec!W20))*1,".")</f>
        <v>1.0395135433941408E-3</v>
      </c>
      <c r="AB20" s="22">
        <f>IFERROR((s_TR/(up_RadSpec!N20*s_EF_cw*(1/365)*s_ED_con*up_RadSpec!S20*s_ET_cw_o*(1/24)*up_RadSpec!X20))*1,".")</f>
        <v>7.2732600732600746E-4</v>
      </c>
      <c r="AC20" s="22">
        <f>IFERROR((s_TR/(up_RadSpec!O20*s_EF_cw*(1/365)*s_ED_con*up_RadSpec!T20*s_ET_cw_o*(1/24)*up_RadSpec!Y20))*1,".")</f>
        <v>6.1071895424836631E-4</v>
      </c>
      <c r="AD20" s="22">
        <f>IFERROR((s_TR/(up_RadSpec!K20*s_EF_cw*(1/365)*s_ED_con*up_RadSpec!P20*s_ET_cw_o*(1/24)*up_RadSpec!U20))*1,".")</f>
        <v>1.771291291291292E-3</v>
      </c>
      <c r="AE20" s="43">
        <f>s_C*s_EF_cw*(1/365)*s_ED_con*(s_ET_cw_i+s_ET_cw_o)*(1/24)*up_RadSpec!V20*up_RadSpec!Q20*1</f>
        <v>1.8971322906369166E-2</v>
      </c>
      <c r="AF20" s="43">
        <f>s_C*s_EF_cw*(1/365)*s_ED_con*(s_ET_cw_i+s_ET_cw_o)*(1/24)*up_RadSpec!W20*up_RadSpec!R20*1</f>
        <v>9.6198842848634388E-3</v>
      </c>
      <c r="AG20" s="43">
        <f>s_C*s_EF_cw*(1/365)*s_ED_con*(s_ET_cw_i+s_ET_cw_o)*(1/24)*up_RadSpec!X20*up_RadSpec!S20*1</f>
        <v>1.3748992747784045E-2</v>
      </c>
      <c r="AH20" s="43">
        <f>s_C*s_EF_cw*(1/365)*s_ED_con*(s_ET_cw_i+s_ET_cw_o)*(1/24)*up_RadSpec!Y20*up_RadSpec!T20*1</f>
        <v>1.6374143835616434E-2</v>
      </c>
      <c r="AI20" s="43">
        <f>s_C*s_EF_cw*(1/365)*s_ED_con*(s_ET_cw_i+s_ET_cw_o)*(1/24)*up_RadSpec!U20*up_RadSpec!P20*1</f>
        <v>5.645598806455987E-3</v>
      </c>
      <c r="AJ20" s="11"/>
      <c r="AK20" s="11"/>
      <c r="AL20" s="11"/>
      <c r="AM20" s="11"/>
      <c r="AN20" s="11"/>
      <c r="AO20" s="22">
        <f>IFERROR(s_TR/(up_RadSpec!G20*s_EF_cw*s_ED_con*s_ET_cw_o*(1/24)*s_IRA_cw),".")</f>
        <v>4.2666666666666668E-9</v>
      </c>
      <c r="AP20" s="22">
        <f>IFERROR(s_TR/(up_RadSpec!J20*s_EF_cw*(1/365)*s_ED_con*s_ET_cw_o*(1/24)*s_GSF_a),".")</f>
        <v>9.344E-5</v>
      </c>
      <c r="AQ20" s="22">
        <f t="shared" si="10"/>
        <v>4.2664718506004295E-9</v>
      </c>
      <c r="AR20" s="43">
        <f t="shared" si="7"/>
        <v>2343.75</v>
      </c>
      <c r="AS20" s="43">
        <f t="shared" si="8"/>
        <v>0.10702054794520549</v>
      </c>
      <c r="AT20" s="10"/>
      <c r="AU20" s="10"/>
      <c r="AV20" s="10"/>
    </row>
    <row r="21" spans="1:48" x14ac:dyDescent="0.25">
      <c r="A21" s="23" t="s">
        <v>31</v>
      </c>
      <c r="B21" s="24" t="s">
        <v>289</v>
      </c>
      <c r="C21" s="109"/>
      <c r="D21" s="22">
        <f>IFERROR((s_TR/(up_RadSpec!I21*s_EF_cw*s_ED_con*s_IRS_cw*(1/1000)))*1,".")</f>
        <v>1.0666666666666667E-6</v>
      </c>
      <c r="E21" s="22">
        <f>IFERROR(IF(A21="H-3",(s_TR/(up_RadSpec!G21*s_EF_cw*s_ED_con*s_ET_cw_o*(1/24)*s_IRA_cw*(1/17)*1000))*1,(s_TR/(up_RadSpec!G21*s_EF_cw*s_ED_con*s_ET_cw_o*(1/24)*s_IRA_cw*(1/s_PEFsc)*1000))*1),".")</f>
        <v>2.1694802535592709E-6</v>
      </c>
      <c r="F21" s="22" t="str">
        <f>IFERROR((s_TR/(up_RadSpec!F21*s_EF_cw*(1/365)*s_ED_con*up_RadSpec!Q21*s_ET_cw_o*(1/24)*up_RadSpec!V21))*1,".")</f>
        <v>.</v>
      </c>
      <c r="G21" s="22">
        <f t="shared" si="0"/>
        <v>7.1508257427992738E-7</v>
      </c>
      <c r="H21" s="43">
        <f t="shared" si="1"/>
        <v>9.375</v>
      </c>
      <c r="I21" s="43">
        <f t="shared" si="2"/>
        <v>4.6093989487085221</v>
      </c>
      <c r="J21" s="43">
        <f>s_C*s_EF_cw*(1/365)*s_ED_con*(s_ET_cw_i+s_ET_cw_o)*(1/24)*up_RadSpec!V21*up_RadSpec!Q21*1</f>
        <v>0</v>
      </c>
      <c r="K21" s="4"/>
      <c r="L21" s="4"/>
      <c r="M21" s="4"/>
      <c r="N21" s="4"/>
      <c r="O21" s="22">
        <f>IFERROR((s_TR/(up_RadSpec!I21*s_EF_cw*s_ED_con*s_IRS_cw*(1/1000)))*1,".")</f>
        <v>1.0666666666666667E-6</v>
      </c>
      <c r="P21" s="22">
        <f>IFERROR(IF(A21="H-3",(s_TR/(up_RadSpec!G21*s_EF_cw*s_ED_con*s_ET_cw_o*(1/24)*s_IRA_cw*(1/17)*1000))*1,(s_TR/(up_RadSpec!G21*s_EF_cw*s_ED_con*s_ET_cw_o*(1/24)*s_IRA_cw*(1/s_PEF__sc)*1000))*1),".")</f>
        <v>1.3644722035813288E-5</v>
      </c>
      <c r="Q21" s="22" t="str">
        <f>IFERROR((s_TR/(up_RadSpec!F21*s_EF_cw*(1/365)*s_ED_con*up_RadSpec!Q21*s_ET_cw_o*(1/24)*up_RadSpec!V21))*1,".")</f>
        <v>.</v>
      </c>
      <c r="R21" s="22">
        <f t="shared" si="9"/>
        <v>9.893267363046894E-7</v>
      </c>
      <c r="S21" s="43">
        <f t="shared" si="4"/>
        <v>9.375</v>
      </c>
      <c r="T21" s="43">
        <f t="shared" si="5"/>
        <v>0.73288411253472296</v>
      </c>
      <c r="U21" s="43">
        <f>s_C*s_EF_cw*(1/365)*s_ED_con*(s_ET_cw_i+s_ET_cw_o)*(1/24)*up_RadSpec!V21*up_RadSpec!Q21*1</f>
        <v>0</v>
      </c>
      <c r="V21" s="11"/>
      <c r="W21" s="11"/>
      <c r="X21" s="11"/>
      <c r="Y21" s="11"/>
      <c r="Z21" s="22" t="str">
        <f>IFERROR((s_TR/(up_RadSpec!F21*s_EF_cw*(1/365)*s_ED_con*up_RadSpec!Q21*s_ET_cw_o*(1/24)*up_RadSpec!V21))*1,".")</f>
        <v>.</v>
      </c>
      <c r="AA21" s="22" t="str">
        <f>IFERROR((s_TR/(up_RadSpec!M21*s_EF_cw*(1/365)*s_ED_con*up_RadSpec!R21*s_ET_cw_o*(1/24)*up_RadSpec!W21))*1,".")</f>
        <v>.</v>
      </c>
      <c r="AB21" s="22" t="str">
        <f>IFERROR((s_TR/(up_RadSpec!N21*s_EF_cw*(1/365)*s_ED_con*up_RadSpec!S21*s_ET_cw_o*(1/24)*up_RadSpec!X21))*1,".")</f>
        <v>.</v>
      </c>
      <c r="AC21" s="22" t="str">
        <f>IFERROR((s_TR/(up_RadSpec!O21*s_EF_cw*(1/365)*s_ED_con*up_RadSpec!T21*s_ET_cw_o*(1/24)*up_RadSpec!Y21))*1,".")</f>
        <v>.</v>
      </c>
      <c r="AD21" s="22" t="str">
        <f>IFERROR((s_TR/(up_RadSpec!K21*s_EF_cw*(1/365)*s_ED_con*up_RadSpec!P21*s_ET_cw_o*(1/24)*up_RadSpec!U21))*1,".")</f>
        <v>.</v>
      </c>
      <c r="AE21" s="43">
        <f>s_C*s_EF_cw*(1/365)*s_ED_con*(s_ET_cw_i+s_ET_cw_o)*(1/24)*up_RadSpec!V21*up_RadSpec!Q21*1</f>
        <v>0</v>
      </c>
      <c r="AF21" s="43">
        <f>s_C*s_EF_cw*(1/365)*s_ED_con*(s_ET_cw_i+s_ET_cw_o)*(1/24)*up_RadSpec!W21*up_RadSpec!R21*1</f>
        <v>0</v>
      </c>
      <c r="AG21" s="43">
        <f>s_C*s_EF_cw*(1/365)*s_ED_con*(s_ET_cw_i+s_ET_cw_o)*(1/24)*up_RadSpec!X21*up_RadSpec!S21*1</f>
        <v>0</v>
      </c>
      <c r="AH21" s="43">
        <f>s_C*s_EF_cw*(1/365)*s_ED_con*(s_ET_cw_i+s_ET_cw_o)*(1/24)*up_RadSpec!Y21*up_RadSpec!T21*1</f>
        <v>0</v>
      </c>
      <c r="AI21" s="43">
        <f>s_C*s_EF_cw*(1/365)*s_ED_con*(s_ET_cw_i+s_ET_cw_o)*(1/24)*up_RadSpec!U21*up_RadSpec!P21*1</f>
        <v>0</v>
      </c>
      <c r="AJ21" s="11"/>
      <c r="AK21" s="11"/>
      <c r="AL21" s="11"/>
      <c r="AM21" s="11"/>
      <c r="AN21" s="11"/>
      <c r="AO21" s="22">
        <f>IFERROR(s_TR/(up_RadSpec!G21*s_EF_cw*s_ED_con*s_ET_cw_o*(1/24)*s_IRA_cw),".")</f>
        <v>4.2666666666666668E-9</v>
      </c>
      <c r="AP21" s="22">
        <f>IFERROR(s_TR/(up_RadSpec!J21*s_EF_cw*(1/365)*s_ED_con*s_ET_cw_o*(1/24)*s_GSF_a),".")</f>
        <v>9.344E-5</v>
      </c>
      <c r="AQ21" s="22">
        <f t="shared" si="10"/>
        <v>4.2664718506004295E-9</v>
      </c>
      <c r="AR21" s="43">
        <f t="shared" si="7"/>
        <v>2343.75</v>
      </c>
      <c r="AS21" s="43">
        <f t="shared" si="8"/>
        <v>0.10702054794520549</v>
      </c>
      <c r="AT21" s="10"/>
      <c r="AU21" s="10"/>
      <c r="AV21" s="10"/>
    </row>
    <row r="22" spans="1:48" x14ac:dyDescent="0.25">
      <c r="A22" s="23" t="s">
        <v>32</v>
      </c>
      <c r="B22" s="24" t="s">
        <v>289</v>
      </c>
      <c r="C22" s="2"/>
      <c r="D22" s="22">
        <f>IFERROR((s_TR/(up_RadSpec!I22*s_EF_cw*s_ED_con*s_IRS_cw*(1/1000)))*1,".")</f>
        <v>1.0666666666666667E-6</v>
      </c>
      <c r="E22" s="22">
        <f>IFERROR(IF(A22="H-3",(s_TR/(up_RadSpec!G22*s_EF_cw*s_ED_con*s_ET_cw_o*(1/24)*s_IRA_cw*(1/17)*1000))*1,(s_TR/(up_RadSpec!G22*s_EF_cw*s_ED_con*s_ET_cw_o*(1/24)*s_IRA_cw*(1/s_PEFsc)*1000))*1),".")</f>
        <v>2.1694802535592709E-6</v>
      </c>
      <c r="F22" s="22">
        <f>IFERROR((s_TR/(up_RadSpec!F22*s_EF_cw*(1/365)*s_ED_con*up_RadSpec!Q22*s_ET_cw_o*(1/24)*up_RadSpec!V22))*1,".")</f>
        <v>2241.8064516129034</v>
      </c>
      <c r="G22" s="22">
        <f t="shared" si="0"/>
        <v>7.1508257405183316E-7</v>
      </c>
      <c r="H22" s="43">
        <f t="shared" si="1"/>
        <v>9.375</v>
      </c>
      <c r="I22" s="43">
        <f t="shared" si="2"/>
        <v>4.6093989487085221</v>
      </c>
      <c r="J22" s="43">
        <f>s_C*s_EF_cw*(1/365)*s_ED_con*(s_ET_cw_i+s_ET_cw_o)*(1/24)*up_RadSpec!V22*up_RadSpec!Q22*1</f>
        <v>4.4606883849430176E-9</v>
      </c>
      <c r="K22" s="4"/>
      <c r="L22" s="4"/>
      <c r="M22" s="4"/>
      <c r="N22" s="4"/>
      <c r="O22" s="22">
        <f>IFERROR((s_TR/(up_RadSpec!I22*s_EF_cw*s_ED_con*s_IRS_cw*(1/1000)))*1,".")</f>
        <v>1.0666666666666667E-6</v>
      </c>
      <c r="P22" s="22">
        <f>IFERROR(IF(A22="H-3",(s_TR/(up_RadSpec!G22*s_EF_cw*s_ED_con*s_ET_cw_o*(1/24)*s_IRA_cw*(1/17)*1000))*1,(s_TR/(up_RadSpec!G22*s_EF_cw*s_ED_con*s_ET_cw_o*(1/24)*s_IRA_cw*(1/s_PEF__sc)*1000))*1),".")</f>
        <v>1.3644722035813288E-5</v>
      </c>
      <c r="Q22" s="22">
        <f>IFERROR((s_TR/(up_RadSpec!F22*s_EF_cw*(1/365)*s_ED_con*up_RadSpec!Q22*s_ET_cw_o*(1/24)*up_RadSpec!V22))*1,".")</f>
        <v>2241.8064516129034</v>
      </c>
      <c r="R22" s="22">
        <f t="shared" si="9"/>
        <v>9.8932673586809177E-7</v>
      </c>
      <c r="S22" s="43">
        <f t="shared" si="4"/>
        <v>9.375</v>
      </c>
      <c r="T22" s="43">
        <f t="shared" si="5"/>
        <v>0.73288411253472296</v>
      </c>
      <c r="U22" s="43">
        <f>s_C*s_EF_cw*(1/365)*s_ED_con*(s_ET_cw_i+s_ET_cw_o)*(1/24)*up_RadSpec!V22*up_RadSpec!Q22*1</f>
        <v>4.4606883849430176E-9</v>
      </c>
      <c r="V22" s="11"/>
      <c r="W22" s="11"/>
      <c r="X22" s="11"/>
      <c r="Y22" s="11"/>
      <c r="Z22" s="22">
        <f>IFERROR((s_TR/(up_RadSpec!F22*s_EF_cw*(1/365)*s_ED_con*up_RadSpec!Q22*s_ET_cw_o*(1/24)*up_RadSpec!V22))*1,".")</f>
        <v>2241.8064516129034</v>
      </c>
      <c r="AA22" s="22">
        <f>IFERROR((s_TR/(up_RadSpec!M22*s_EF_cw*(1/365)*s_ED_con*up_RadSpec!R22*s_ET_cw_o*(1/24)*up_RadSpec!W22))*1,".")</f>
        <v>2054.2137953579613</v>
      </c>
      <c r="AB22" s="22">
        <f>IFERROR((s_TR/(up_RadSpec!N22*s_EF_cw*(1/365)*s_ED_con*up_RadSpec!S22*s_ET_cw_o*(1/24)*up_RadSpec!X22))*1,".")</f>
        <v>1578.1862446743762</v>
      </c>
      <c r="AC22" s="22">
        <f>IFERROR((s_TR/(up_RadSpec!O22*s_EF_cw*(1/365)*s_ED_con*up_RadSpec!T22*s_ET_cw_o*(1/24)*up_RadSpec!Y22))*1,".")</f>
        <v>1626.2777777777771</v>
      </c>
      <c r="AD22" s="22">
        <f>IFERROR((s_TR/(up_RadSpec!K22*s_EF_cw*(1/365)*s_ED_con*up_RadSpec!P22*s_ET_cw_o*(1/24)*up_RadSpec!U22))*1,".")</f>
        <v>11539.567159051874</v>
      </c>
      <c r="AE22" s="43">
        <f>s_C*s_EF_cw*(1/365)*s_ED_con*(s_ET_cw_i+s_ET_cw_o)*(1/24)*up_RadSpec!V22*up_RadSpec!Q22*1</f>
        <v>4.4606883849430176E-9</v>
      </c>
      <c r="AF22" s="43">
        <f>s_C*s_EF_cw*(1/365)*s_ED_con*(s_ET_cw_i+s_ET_cw_o)*(1/24)*up_RadSpec!W22*up_RadSpec!R22*1</f>
        <v>4.8680424708458494E-9</v>
      </c>
      <c r="AG22" s="43">
        <f>s_C*s_EF_cw*(1/365)*s_ED_con*(s_ET_cw_i+s_ET_cw_o)*(1/24)*up_RadSpec!X22*up_RadSpec!S22*1</f>
        <v>6.3363877576206346E-9</v>
      </c>
      <c r="AH22" s="43">
        <f>s_C*s_EF_cw*(1/365)*s_ED_con*(s_ET_cw_i+s_ET_cw_o)*(1/24)*up_RadSpec!Y22*up_RadSpec!T22*1</f>
        <v>6.1490110340586923E-9</v>
      </c>
      <c r="AI22" s="43">
        <f>s_C*s_EF_cw*(1/365)*s_ED_con*(s_ET_cw_i+s_ET_cw_o)*(1/24)*up_RadSpec!U22*up_RadSpec!P22*1</f>
        <v>8.6658363023224808E-10</v>
      </c>
      <c r="AJ22" s="11"/>
      <c r="AK22" s="11"/>
      <c r="AL22" s="11"/>
      <c r="AM22" s="11"/>
      <c r="AN22" s="11"/>
      <c r="AO22" s="22">
        <f>IFERROR(s_TR/(up_RadSpec!G22*s_EF_cw*s_ED_con*s_ET_cw_o*(1/24)*s_IRA_cw),".")</f>
        <v>4.2666666666666668E-9</v>
      </c>
      <c r="AP22" s="22">
        <f>IFERROR(s_TR/(up_RadSpec!J22*s_EF_cw*(1/365)*s_ED_con*s_ET_cw_o*(1/24)*s_GSF_a),".")</f>
        <v>9.344E-5</v>
      </c>
      <c r="AQ22" s="22">
        <f t="shared" si="10"/>
        <v>4.2664718506004295E-9</v>
      </c>
      <c r="AR22" s="43">
        <f t="shared" si="7"/>
        <v>2343.75</v>
      </c>
      <c r="AS22" s="43">
        <f t="shared" si="8"/>
        <v>0.10702054794520549</v>
      </c>
      <c r="AT22" s="10"/>
      <c r="AU22" s="10"/>
      <c r="AV22" s="10"/>
    </row>
    <row r="23" spans="1:48" x14ac:dyDescent="0.25">
      <c r="A23" s="25" t="s">
        <v>33</v>
      </c>
      <c r="B23" s="24" t="s">
        <v>275</v>
      </c>
      <c r="C23" s="109"/>
      <c r="D23" s="22">
        <f>IFERROR((s_TR/(up_RadSpec!I23*s_EF_cw*s_ED_con*s_IRS_cw*(1/1000)))*1,".")</f>
        <v>1.0666666666666667E-6</v>
      </c>
      <c r="E23" s="22">
        <f>IFERROR(IF(A23="H-3",(s_TR/(up_RadSpec!G23*s_EF_cw*s_ED_con*s_ET_cw_o*(1/24)*s_IRA_cw*(1/17)*1000))*1,(s_TR/(up_RadSpec!G23*s_EF_cw*s_ED_con*s_ET_cw_o*(1/24)*s_IRA_cw*(1/s_PEFsc)*1000))*1),".")</f>
        <v>2.1694802535592709E-6</v>
      </c>
      <c r="F23" s="22">
        <f>IFERROR((s_TR/(up_RadSpec!F23*s_EF_cw*(1/365)*s_ED_con*up_RadSpec!Q23*s_ET_cw_o*(1/24)*up_RadSpec!V23))*1,".")</f>
        <v>5.1339087848178749E-4</v>
      </c>
      <c r="G23" s="22">
        <f t="shared" si="0"/>
        <v>7.1408794841138387E-7</v>
      </c>
      <c r="H23" s="43">
        <f t="shared" si="1"/>
        <v>9.375</v>
      </c>
      <c r="I23" s="43">
        <f t="shared" si="2"/>
        <v>4.6093989487085221</v>
      </c>
      <c r="J23" s="43">
        <f>s_C*s_EF_cw*(1/365)*s_ED_con*(s_ET_cw_i+s_ET_cw_o)*(1/24)*up_RadSpec!V23*up_RadSpec!Q23*1</f>
        <v>1.947833594077919E-2</v>
      </c>
      <c r="K23" s="4"/>
      <c r="L23" s="4"/>
      <c r="M23" s="4"/>
      <c r="N23" s="4"/>
      <c r="O23" s="22">
        <f>IFERROR((s_TR/(up_RadSpec!I23*s_EF_cw*s_ED_con*s_IRS_cw*(1/1000)))*1,".")</f>
        <v>1.0666666666666667E-6</v>
      </c>
      <c r="P23" s="22">
        <f>IFERROR(IF(A23="H-3",(s_TR/(up_RadSpec!G23*s_EF_cw*s_ED_con*s_ET_cw_o*(1/24)*s_IRA_cw*(1/17)*1000))*1,(s_TR/(up_RadSpec!G23*s_EF_cw*s_ED_con*s_ET_cw_o*(1/24)*s_IRA_cw*(1/s_PEF__sc)*1000))*1),".")</f>
        <v>1.3644722035813288E-5</v>
      </c>
      <c r="Q23" s="22">
        <f>IFERROR((s_TR/(up_RadSpec!F23*s_EF_cw*(1/365)*s_ED_con*up_RadSpec!Q23*s_ET_cw_o*(1/24)*up_RadSpec!V23))*1,".")</f>
        <v>5.1339087848178749E-4</v>
      </c>
      <c r="R23" s="22">
        <f t="shared" si="9"/>
        <v>9.8742392709617354E-7</v>
      </c>
      <c r="S23" s="43">
        <f t="shared" si="4"/>
        <v>9.375</v>
      </c>
      <c r="T23" s="43">
        <f t="shared" si="5"/>
        <v>0.73288411253472296</v>
      </c>
      <c r="U23" s="43">
        <f>s_C*s_EF_cw*(1/365)*s_ED_con*(s_ET_cw_i+s_ET_cw_o)*(1/24)*up_RadSpec!V23*up_RadSpec!Q23*1</f>
        <v>1.947833594077919E-2</v>
      </c>
      <c r="V23" s="11"/>
      <c r="W23" s="11"/>
      <c r="X23" s="11"/>
      <c r="Y23" s="11"/>
      <c r="Z23" s="22">
        <f>IFERROR((s_TR/(up_RadSpec!F23*s_EF_cw*(1/365)*s_ED_con*up_RadSpec!Q23*s_ET_cw_o*(1/24)*up_RadSpec!V23))*1,".")</f>
        <v>5.1339087848178749E-4</v>
      </c>
      <c r="AA23" s="22">
        <f>IFERROR((s_TR/(up_RadSpec!M23*s_EF_cw*(1/365)*s_ED_con*up_RadSpec!R23*s_ET_cw_o*(1/24)*up_RadSpec!W23))*1,".")</f>
        <v>9.1384542211652873E-4</v>
      </c>
      <c r="AB23" s="22">
        <f>IFERROR((s_TR/(up_RadSpec!N23*s_EF_cw*(1/365)*s_ED_con*up_RadSpec!S23*s_ET_cw_o*(1/24)*up_RadSpec!X23))*1,".")</f>
        <v>6.4620326152322303E-4</v>
      </c>
      <c r="AC23" s="22">
        <f>IFERROR((s_TR/(up_RadSpec!O23*s_EF_cw*(1/365)*s_ED_con*up_RadSpec!T23*s_ET_cw_o*(1/24)*up_RadSpec!Y23))*1,".")</f>
        <v>5.2880879120879116E-4</v>
      </c>
      <c r="AD23" s="22">
        <f>IFERROR((s_TR/(up_RadSpec!K23*s_EF_cw*(1/365)*s_ED_con*up_RadSpec!P23*s_ET_cw_o*(1/24)*up_RadSpec!U23))*1,".")</f>
        <v>1.4385353675450761E-3</v>
      </c>
      <c r="AE23" s="43">
        <f>s_C*s_EF_cw*(1/365)*s_ED_con*(s_ET_cw_i+s_ET_cw_o)*(1/24)*up_RadSpec!V23*up_RadSpec!Q23*1</f>
        <v>1.947833594077919E-2</v>
      </c>
      <c r="AF23" s="43">
        <f>s_C*s_EF_cw*(1/365)*s_ED_con*(s_ET_cw_i+s_ET_cw_o)*(1/24)*up_RadSpec!W23*up_RadSpec!R23*1</f>
        <v>1.0942769704792434E-2</v>
      </c>
      <c r="AG23" s="43">
        <f>s_C*s_EF_cw*(1/365)*s_ED_con*(s_ET_cw_i+s_ET_cw_o)*(1/24)*up_RadSpec!X23*up_RadSpec!S23*1</f>
        <v>1.5475007006971946E-2</v>
      </c>
      <c r="AH23" s="43">
        <f>s_C*s_EF_cw*(1/365)*s_ED_con*(s_ET_cw_i+s_ET_cw_o)*(1/24)*up_RadSpec!Y23*up_RadSpec!T23*1</f>
        <v>1.8910426918473205E-2</v>
      </c>
      <c r="AI23" s="43">
        <f>s_C*s_EF_cw*(1/365)*s_ED_con*(s_ET_cw_i+s_ET_cw_o)*(1/24)*up_RadSpec!U23*up_RadSpec!P23*1</f>
        <v>6.9515148710354207E-3</v>
      </c>
      <c r="AJ23" s="11"/>
      <c r="AK23" s="11"/>
      <c r="AL23" s="11"/>
      <c r="AM23" s="11"/>
      <c r="AN23" s="11"/>
      <c r="AO23" s="22">
        <f>IFERROR(s_TR/(up_RadSpec!G23*s_EF_cw*s_ED_con*s_ET_cw_o*(1/24)*s_IRA_cw),".")</f>
        <v>4.2666666666666668E-9</v>
      </c>
      <c r="AP23" s="22">
        <f>IFERROR(s_TR/(up_RadSpec!J23*s_EF_cw*(1/365)*s_ED_con*s_ET_cw_o*(1/24)*s_GSF_a),".")</f>
        <v>9.344E-5</v>
      </c>
      <c r="AQ23" s="22">
        <f t="shared" si="10"/>
        <v>4.2664718506004295E-9</v>
      </c>
      <c r="AR23" s="43">
        <f t="shared" si="7"/>
        <v>2343.75</v>
      </c>
      <c r="AS23" s="43">
        <f t="shared" si="8"/>
        <v>0.10702054794520549</v>
      </c>
      <c r="AT23" s="10"/>
      <c r="AU23" s="10"/>
      <c r="AV23" s="10"/>
    </row>
    <row r="24" spans="1:48" x14ac:dyDescent="0.25">
      <c r="A24" s="23" t="s">
        <v>34</v>
      </c>
      <c r="B24" s="24" t="s">
        <v>289</v>
      </c>
      <c r="C24" s="109"/>
      <c r="D24" s="22">
        <f>IFERROR((s_TR/(up_RadSpec!I24*s_EF_cw*s_ED_con*s_IRS_cw*(1/1000)))*1,".")</f>
        <v>1.0666666666666667E-6</v>
      </c>
      <c r="E24" s="22">
        <f>IFERROR(IF(A24="H-3",(s_TR/(up_RadSpec!G24*s_EF_cw*s_ED_con*s_ET_cw_o*(1/24)*s_IRA_cw*(1/17)*1000))*1,(s_TR/(up_RadSpec!G24*s_EF_cw*s_ED_con*s_ET_cw_o*(1/24)*s_IRA_cw*(1/s_PEFsc)*1000))*1),".")</f>
        <v>2.1694802535592709E-6</v>
      </c>
      <c r="F24" s="22">
        <f>IFERROR((s_TR/(up_RadSpec!F24*s_EF_cw*(1/365)*s_ED_con*up_RadSpec!Q24*s_ET_cw_o*(1/24)*up_RadSpec!V24))*1,".")</f>
        <v>6.7301464670851464E-4</v>
      </c>
      <c r="G24" s="22">
        <f t="shared" si="0"/>
        <v>7.1432360066511731E-7</v>
      </c>
      <c r="H24" s="43">
        <f t="shared" si="1"/>
        <v>9.375</v>
      </c>
      <c r="I24" s="43">
        <f t="shared" si="2"/>
        <v>4.6093989487085221</v>
      </c>
      <c r="J24" s="43">
        <f>s_C*s_EF_cw*(1/365)*s_ED_con*(s_ET_cw_i+s_ET_cw_o)*(1/24)*up_RadSpec!V24*up_RadSpec!Q24*1</f>
        <v>1.4858517639856123E-2</v>
      </c>
      <c r="K24" s="4"/>
      <c r="L24" s="4"/>
      <c r="M24" s="4"/>
      <c r="N24" s="4"/>
      <c r="O24" s="22">
        <f>IFERROR((s_TR/(up_RadSpec!I24*s_EF_cw*s_ED_con*s_IRS_cw*(1/1000)))*1,".")</f>
        <v>1.0666666666666667E-6</v>
      </c>
      <c r="P24" s="22">
        <f>IFERROR(IF(A24="H-3",(s_TR/(up_RadSpec!G24*s_EF_cw*s_ED_con*s_ET_cw_o*(1/24)*s_IRA_cw*(1/17)*1000))*1,(s_TR/(up_RadSpec!G24*s_EF_cw*s_ED_con*s_ET_cw_o*(1/24)*s_IRA_cw*(1/s_PEF__sc)*1000))*1),".")</f>
        <v>1.3644722035813288E-5</v>
      </c>
      <c r="Q24" s="22">
        <f>IFERROR((s_TR/(up_RadSpec!F24*s_EF_cw*(1/365)*s_ED_con*up_RadSpec!Q24*s_ET_cw_o*(1/24)*up_RadSpec!V24))*1,".")</f>
        <v>6.7301464670851464E-4</v>
      </c>
      <c r="R24" s="22">
        <f t="shared" si="9"/>
        <v>9.8787456772745568E-7</v>
      </c>
      <c r="S24" s="43">
        <f t="shared" si="4"/>
        <v>9.375</v>
      </c>
      <c r="T24" s="43">
        <f t="shared" si="5"/>
        <v>0.73288411253472296</v>
      </c>
      <c r="U24" s="43">
        <f>s_C*s_EF_cw*(1/365)*s_ED_con*(s_ET_cw_i+s_ET_cw_o)*(1/24)*up_RadSpec!V24*up_RadSpec!Q24*1</f>
        <v>1.4858517639856123E-2</v>
      </c>
      <c r="V24" s="11"/>
      <c r="W24" s="11"/>
      <c r="X24" s="11"/>
      <c r="Y24" s="11"/>
      <c r="Z24" s="22">
        <f>IFERROR((s_TR/(up_RadSpec!F24*s_EF_cw*(1/365)*s_ED_con*up_RadSpec!Q24*s_ET_cw_o*(1/24)*up_RadSpec!V24))*1,".")</f>
        <v>6.7301464670851464E-4</v>
      </c>
      <c r="AA24" s="22">
        <f>IFERROR((s_TR/(up_RadSpec!M24*s_EF_cw*(1/365)*s_ED_con*up_RadSpec!R24*s_ET_cw_o*(1/24)*up_RadSpec!W24))*1,".")</f>
        <v>1.2201856248650986E-3</v>
      </c>
      <c r="AB24" s="22">
        <f>IFERROR((s_TR/(up_RadSpec!N24*s_EF_cw*(1/365)*s_ED_con*up_RadSpec!S24*s_ET_cw_o*(1/24)*up_RadSpec!X24))*1,".")</f>
        <v>8.6152989711218205E-4</v>
      </c>
      <c r="AC24" s="22">
        <f>IFERROR((s_TR/(up_RadSpec!O24*s_EF_cw*(1/365)*s_ED_con*up_RadSpec!T24*s_ET_cw_o*(1/24)*up_RadSpec!Y24))*1,".")</f>
        <v>7.1943332306744683E-4</v>
      </c>
      <c r="AD24" s="22">
        <f>IFERROR((s_TR/(up_RadSpec!K24*s_EF_cw*(1/365)*s_ED_con*up_RadSpec!P24*s_ET_cw_o*(1/24)*up_RadSpec!U24))*1,".")</f>
        <v>2.0279560439560433E-3</v>
      </c>
      <c r="AE24" s="43">
        <f>s_C*s_EF_cw*(1/365)*s_ED_con*(s_ET_cw_i+s_ET_cw_o)*(1/24)*up_RadSpec!V24*up_RadSpec!Q24*1</f>
        <v>1.4858517639856123E-2</v>
      </c>
      <c r="AF24" s="43">
        <f>s_C*s_EF_cw*(1/365)*s_ED_con*(s_ET_cw_i+s_ET_cw_o)*(1/24)*up_RadSpec!W24*up_RadSpec!R24*1</f>
        <v>8.1954743575229257E-3</v>
      </c>
      <c r="AG24" s="43">
        <f>s_C*s_EF_cw*(1/365)*s_ED_con*(s_ET_cw_i+s_ET_cw_o)*(1/24)*up_RadSpec!X24*up_RadSpec!S24*1</f>
        <v>1.1607258243178382E-2</v>
      </c>
      <c r="AH24" s="43">
        <f>s_C*s_EF_cw*(1/365)*s_ED_con*(s_ET_cw_i+s_ET_cw_o)*(1/24)*up_RadSpec!Y24*up_RadSpec!T24*1</f>
        <v>1.389982876712329E-2</v>
      </c>
      <c r="AI24" s="43">
        <f>s_C*s_EF_cw*(1/365)*s_ED_con*(s_ET_cw_i+s_ET_cw_o)*(1/24)*up_RadSpec!U24*up_RadSpec!P24*1</f>
        <v>4.9310733483613695E-3</v>
      </c>
      <c r="AJ24" s="11"/>
      <c r="AK24" s="11"/>
      <c r="AL24" s="11"/>
      <c r="AM24" s="11"/>
      <c r="AN24" s="11"/>
      <c r="AO24" s="22">
        <f>IFERROR(s_TR/(up_RadSpec!G24*s_EF_cw*s_ED_con*s_ET_cw_o*(1/24)*s_IRA_cw),".")</f>
        <v>4.2666666666666668E-9</v>
      </c>
      <c r="AP24" s="22">
        <f>IFERROR(s_TR/(up_RadSpec!J24*s_EF_cw*(1/365)*s_ED_con*s_ET_cw_o*(1/24)*s_GSF_a),".")</f>
        <v>9.344E-5</v>
      </c>
      <c r="AQ24" s="22">
        <f t="shared" si="10"/>
        <v>4.2664718506004295E-9</v>
      </c>
      <c r="AR24" s="43">
        <f t="shared" si="7"/>
        <v>2343.75</v>
      </c>
      <c r="AS24" s="43">
        <f t="shared" si="8"/>
        <v>0.10702054794520549</v>
      </c>
      <c r="AT24" s="10"/>
      <c r="AU24" s="10"/>
      <c r="AV24" s="10"/>
    </row>
    <row r="25" spans="1:48" x14ac:dyDescent="0.25">
      <c r="A25" s="25" t="s">
        <v>35</v>
      </c>
      <c r="B25" s="24" t="s">
        <v>275</v>
      </c>
      <c r="C25" s="109"/>
      <c r="D25" s="22">
        <f>IFERROR((s_TR/(up_RadSpec!I25*s_EF_cw*s_ED_con*s_IRS_cw*(1/1000)))*1,".")</f>
        <v>1.0666666666666667E-6</v>
      </c>
      <c r="E25" s="22">
        <f>IFERROR(IF(A25="H-3",(s_TR/(up_RadSpec!G25*s_EF_cw*s_ED_con*s_ET_cw_o*(1/24)*s_IRA_cw*(1/17)*1000))*1,(s_TR/(up_RadSpec!G25*s_EF_cw*s_ED_con*s_ET_cw_o*(1/24)*s_IRA_cw*(1/s_PEFsc)*1000))*1),".")</f>
        <v>2.1694802535592709E-6</v>
      </c>
      <c r="F25" s="22">
        <f>IFERROR((s_TR/(up_RadSpec!F25*s_EF_cw*(1/365)*s_ED_con*up_RadSpec!Q25*s_ET_cw_o*(1/24)*up_RadSpec!V25))*1,".")</f>
        <v>7.5052208835341377E-4</v>
      </c>
      <c r="G25" s="22">
        <f t="shared" si="0"/>
        <v>7.1440190629939155E-7</v>
      </c>
      <c r="H25" s="43">
        <f t="shared" si="1"/>
        <v>9.375</v>
      </c>
      <c r="I25" s="43">
        <f t="shared" si="2"/>
        <v>4.6093989487085221</v>
      </c>
      <c r="J25" s="43">
        <f>s_C*s_EF_cw*(1/365)*s_ED_con*(s_ET_cw_i+s_ET_cw_o)*(1/24)*up_RadSpec!V25*up_RadSpec!Q25*1</f>
        <v>1.3324058219178082E-2</v>
      </c>
      <c r="K25" s="4"/>
      <c r="L25" s="4"/>
      <c r="M25" s="4"/>
      <c r="N25" s="4"/>
      <c r="O25" s="22">
        <f>IFERROR((s_TR/(up_RadSpec!I25*s_EF_cw*s_ED_con*s_IRS_cw*(1/1000)))*1,".")</f>
        <v>1.0666666666666667E-6</v>
      </c>
      <c r="P25" s="22">
        <f>IFERROR(IF(A25="H-3",(s_TR/(up_RadSpec!G25*s_EF_cw*s_ED_con*s_ET_cw_o*(1/24)*s_IRA_cw*(1/17)*1000))*1,(s_TR/(up_RadSpec!G25*s_EF_cw*s_ED_con*s_ET_cw_o*(1/24)*s_IRA_cw*(1/s_PEF__sc)*1000))*1),".")</f>
        <v>1.3644722035813288E-5</v>
      </c>
      <c r="Q25" s="22">
        <f>IFERROR((s_TR/(up_RadSpec!F25*s_EF_cw*(1/365)*s_ED_con*up_RadSpec!Q25*s_ET_cw_o*(1/24)*up_RadSpec!V25))*1,".")</f>
        <v>7.5052208835341377E-4</v>
      </c>
      <c r="R25" s="22">
        <f t="shared" si="9"/>
        <v>9.8802433773626516E-7</v>
      </c>
      <c r="S25" s="43">
        <f t="shared" si="4"/>
        <v>9.375</v>
      </c>
      <c r="T25" s="43">
        <f t="shared" si="5"/>
        <v>0.73288411253472296</v>
      </c>
      <c r="U25" s="43">
        <f>s_C*s_EF_cw*(1/365)*s_ED_con*(s_ET_cw_i+s_ET_cw_o)*(1/24)*up_RadSpec!V25*up_RadSpec!Q25*1</f>
        <v>1.3324058219178082E-2</v>
      </c>
      <c r="V25" s="11"/>
      <c r="W25" s="11"/>
      <c r="X25" s="11"/>
      <c r="Y25" s="11"/>
      <c r="Z25" s="22">
        <f>IFERROR((s_TR/(up_RadSpec!F25*s_EF_cw*(1/365)*s_ED_con*up_RadSpec!Q25*s_ET_cw_o*(1/24)*up_RadSpec!V25))*1,".")</f>
        <v>7.5052208835341377E-4</v>
      </c>
      <c r="AA25" s="22">
        <f>IFERROR((s_TR/(up_RadSpec!M25*s_EF_cw*(1/365)*s_ED_con*up_RadSpec!R25*s_ET_cw_o*(1/24)*up_RadSpec!W25))*1,".")</f>
        <v>1.3440293174530457E-3</v>
      </c>
      <c r="AB25" s="22">
        <f>IFERROR((s_TR/(up_RadSpec!N25*s_EF_cw*(1/365)*s_ED_con*up_RadSpec!S25*s_ET_cw_o*(1/24)*up_RadSpec!X25))*1,".")</f>
        <v>9.6407951598962858E-4</v>
      </c>
      <c r="AC25" s="22">
        <f>IFERROR((s_TR/(up_RadSpec!O25*s_EF_cw*(1/365)*s_ED_con*up_RadSpec!T25*s_ET_cw_o*(1/24)*up_RadSpec!Y25))*1,".")</f>
        <v>8.6089873967840058E-4</v>
      </c>
      <c r="AD25" s="22">
        <f>IFERROR((s_TR/(up_RadSpec!K25*s_EF_cw*(1/365)*s_ED_con*up_RadSpec!P25*s_ET_cw_o*(1/24)*up_RadSpec!U25))*1,".")</f>
        <v>2.4096969696969697E-3</v>
      </c>
      <c r="AE25" s="43">
        <f>s_C*s_EF_cw*(1/365)*s_ED_con*(s_ET_cw_i+s_ET_cw_o)*(1/24)*up_RadSpec!V25*up_RadSpec!Q25*1</f>
        <v>1.3324058219178082E-2</v>
      </c>
      <c r="AF25" s="43">
        <f>s_C*s_EF_cw*(1/365)*s_ED_con*(s_ET_cw_i+s_ET_cw_o)*(1/24)*up_RadSpec!W25*up_RadSpec!R25*1</f>
        <v>7.440313890585467E-3</v>
      </c>
      <c r="AG25" s="43">
        <f>s_C*s_EF_cw*(1/365)*s_ED_con*(s_ET_cw_i+s_ET_cw_o)*(1/24)*up_RadSpec!X25*up_RadSpec!S25*1</f>
        <v>1.0372588395610701E-2</v>
      </c>
      <c r="AH25" s="43">
        <f>s_C*s_EF_cw*(1/365)*s_ED_con*(s_ET_cw_i+s_ET_cw_o)*(1/24)*up_RadSpec!Y25*up_RadSpec!T25*1</f>
        <v>1.1615767963298012E-2</v>
      </c>
      <c r="AI25" s="43">
        <f>s_C*s_EF_cw*(1/365)*s_ED_con*(s_ET_cw_i+s_ET_cw_o)*(1/24)*up_RadSpec!U25*up_RadSpec!P25*1</f>
        <v>4.1498993963782708E-3</v>
      </c>
      <c r="AJ25" s="11"/>
      <c r="AK25" s="11"/>
      <c r="AL25" s="11"/>
      <c r="AM25" s="11"/>
      <c r="AN25" s="11"/>
      <c r="AO25" s="22">
        <f>IFERROR(s_TR/(up_RadSpec!G25*s_EF_cw*s_ED_con*s_ET_cw_o*(1/24)*s_IRA_cw),".")</f>
        <v>4.2666666666666668E-9</v>
      </c>
      <c r="AP25" s="22">
        <f>IFERROR(s_TR/(up_RadSpec!J25*s_EF_cw*(1/365)*s_ED_con*s_ET_cw_o*(1/24)*s_GSF_a),".")</f>
        <v>9.344E-5</v>
      </c>
      <c r="AQ25" s="22">
        <f t="shared" si="10"/>
        <v>4.2664718506004295E-9</v>
      </c>
      <c r="AR25" s="43">
        <f t="shared" si="7"/>
        <v>2343.75</v>
      </c>
      <c r="AS25" s="43">
        <f t="shared" si="8"/>
        <v>0.10702054794520549</v>
      </c>
      <c r="AT25" s="10"/>
      <c r="AU25" s="10"/>
      <c r="AV25" s="10"/>
    </row>
    <row r="26" spans="1:48" x14ac:dyDescent="0.25">
      <c r="A26" s="23" t="s">
        <v>36</v>
      </c>
      <c r="B26" s="24" t="s">
        <v>289</v>
      </c>
      <c r="C26" s="2"/>
      <c r="D26" s="22">
        <f>IFERROR((s_TR/(up_RadSpec!I26*s_EF_cw*s_ED_con*s_IRS_cw*(1/1000)))*1,".")</f>
        <v>1.0666666666666667E-6</v>
      </c>
      <c r="E26" s="22">
        <f>IFERROR(IF(A26="H-3",(s_TR/(up_RadSpec!G26*s_EF_cw*s_ED_con*s_ET_cw_o*(1/24)*s_IRA_cw*(1/17)*1000))*1,(s_TR/(up_RadSpec!G26*s_EF_cw*s_ED_con*s_ET_cw_o*(1/24)*s_IRA_cw*(1/s_PEFsc)*1000))*1),".")</f>
        <v>2.1694802535592709E-6</v>
      </c>
      <c r="F26" s="22">
        <f>IFERROR((s_TR/(up_RadSpec!F26*s_EF_cw*(1/365)*s_ED_con*up_RadSpec!Q26*s_ET_cw_o*(1/24)*up_RadSpec!V26))*1,".")</f>
        <v>4.0919727891156445E-3</v>
      </c>
      <c r="G26" s="22">
        <f t="shared" si="0"/>
        <v>7.1495763362868054E-7</v>
      </c>
      <c r="H26" s="43">
        <f t="shared" si="1"/>
        <v>9.375</v>
      </c>
      <c r="I26" s="43">
        <f t="shared" si="2"/>
        <v>4.6093989487085221</v>
      </c>
      <c r="J26" s="43">
        <f>s_C*s_EF_cw*(1/365)*s_ED_con*(s_ET_cw_i+s_ET_cw_o)*(1/24)*up_RadSpec!V26*up_RadSpec!Q26*1</f>
        <v>2.4438090171565378E-3</v>
      </c>
      <c r="K26" s="4"/>
      <c r="L26" s="4"/>
      <c r="M26" s="4"/>
      <c r="N26" s="4"/>
      <c r="O26" s="22">
        <f>IFERROR((s_TR/(up_RadSpec!I26*s_EF_cw*s_ED_con*s_IRS_cw*(1/1000)))*1,".")</f>
        <v>1.0666666666666667E-6</v>
      </c>
      <c r="P26" s="22">
        <f>IFERROR(IF(A26="H-3",(s_TR/(up_RadSpec!G26*s_EF_cw*s_ED_con*s_ET_cw_o*(1/24)*s_IRA_cw*(1/17)*1000))*1,(s_TR/(up_RadSpec!G26*s_EF_cw*s_ED_con*s_ET_cw_o*(1/24)*s_IRA_cw*(1/s_PEF__sc)*1000))*1),".")</f>
        <v>1.3644722035813288E-5</v>
      </c>
      <c r="Q26" s="22">
        <f>IFERROR((s_TR/(up_RadSpec!F26*s_EF_cw*(1/365)*s_ED_con*up_RadSpec!Q26*s_ET_cw_o*(1/24)*up_RadSpec!V26))*1,".")</f>
        <v>4.0919727891156445E-3</v>
      </c>
      <c r="R26" s="22">
        <f t="shared" si="9"/>
        <v>9.8908760206316378E-7</v>
      </c>
      <c r="S26" s="43">
        <f t="shared" si="4"/>
        <v>9.375</v>
      </c>
      <c r="T26" s="43">
        <f t="shared" si="5"/>
        <v>0.73288411253472296</v>
      </c>
      <c r="U26" s="43">
        <f>s_C*s_EF_cw*(1/365)*s_ED_con*(s_ET_cw_i+s_ET_cw_o)*(1/24)*up_RadSpec!V26*up_RadSpec!Q26*1</f>
        <v>2.4438090171565378E-3</v>
      </c>
      <c r="V26" s="11"/>
      <c r="W26" s="11"/>
      <c r="X26" s="11"/>
      <c r="Y26" s="11"/>
      <c r="Z26" s="22">
        <f>IFERROR((s_TR/(up_RadSpec!F26*s_EF_cw*(1/365)*s_ED_con*up_RadSpec!Q26*s_ET_cw_o*(1/24)*up_RadSpec!V26))*1,".")</f>
        <v>4.0919727891156445E-3</v>
      </c>
      <c r="AA26" s="22">
        <f>IFERROR((s_TR/(up_RadSpec!M26*s_EF_cw*(1/365)*s_ED_con*up_RadSpec!R26*s_ET_cw_o*(1/24)*up_RadSpec!W26))*1,".")</f>
        <v>7.4709308966304979E-3</v>
      </c>
      <c r="AB26" s="22">
        <f>IFERROR((s_TR/(up_RadSpec!N26*s_EF_cw*(1/365)*s_ED_con*up_RadSpec!S26*s_ET_cw_o*(1/24)*up_RadSpec!X26))*1,".")</f>
        <v>5.3998484210526308E-3</v>
      </c>
      <c r="AC26" s="22">
        <f>IFERROR((s_TR/(up_RadSpec!O26*s_EF_cw*(1/365)*s_ED_con*up_RadSpec!T26*s_ET_cw_o*(1/24)*up_RadSpec!Y26))*1,".")</f>
        <v>4.6189090909090885E-3</v>
      </c>
      <c r="AD26" s="22">
        <f>IFERROR((s_TR/(up_RadSpec!K26*s_EF_cw*(1/365)*s_ED_con*up_RadSpec!P26*s_ET_cw_o*(1/24)*up_RadSpec!U26))*1,".")</f>
        <v>4.3544594207054796E-2</v>
      </c>
      <c r="AE26" s="43">
        <f>s_C*s_EF_cw*(1/365)*s_ED_con*(s_ET_cw_i+s_ET_cw_o)*(1/24)*up_RadSpec!V26*up_RadSpec!Q26*1</f>
        <v>2.4438090171565378E-3</v>
      </c>
      <c r="AF26" s="43">
        <f>s_C*s_EF_cw*(1/365)*s_ED_con*(s_ET_cw_i+s_ET_cw_o)*(1/24)*up_RadSpec!W26*up_RadSpec!R26*1</f>
        <v>1.3385212818003913E-3</v>
      </c>
      <c r="AG26" s="43">
        <f>s_C*s_EF_cw*(1/365)*s_ED_con*(s_ET_cw_i+s_ET_cw_o)*(1/24)*up_RadSpec!X26*up_RadSpec!S26*1</f>
        <v>1.8519038351173999E-3</v>
      </c>
      <c r="AH26" s="43">
        <f>s_C*s_EF_cw*(1/365)*s_ED_con*(s_ET_cw_i+s_ET_cw_o)*(1/24)*up_RadSpec!Y26*up_RadSpec!T26*1</f>
        <v>2.1650133837191011E-3</v>
      </c>
      <c r="AI26" s="43">
        <f>s_C*s_EF_cw*(1/365)*s_ED_con*(s_ET_cw_i+s_ET_cw_o)*(1/24)*up_RadSpec!U26*up_RadSpec!P26*1</f>
        <v>2.2964963119072703E-4</v>
      </c>
      <c r="AJ26" s="11"/>
      <c r="AK26" s="11"/>
      <c r="AL26" s="11"/>
      <c r="AM26" s="11"/>
      <c r="AN26" s="11"/>
      <c r="AO26" s="22">
        <f>IFERROR(s_TR/(up_RadSpec!G26*s_EF_cw*s_ED_con*s_ET_cw_o*(1/24)*s_IRA_cw),".")</f>
        <v>4.2666666666666668E-9</v>
      </c>
      <c r="AP26" s="22">
        <f>IFERROR(s_TR/(up_RadSpec!J26*s_EF_cw*(1/365)*s_ED_con*s_ET_cw_o*(1/24)*s_GSF_a),".")</f>
        <v>9.344E-5</v>
      </c>
      <c r="AQ26" s="22">
        <f t="shared" si="10"/>
        <v>4.2664718506004295E-9</v>
      </c>
      <c r="AR26" s="43">
        <f t="shared" si="7"/>
        <v>2343.75</v>
      </c>
      <c r="AS26" s="43">
        <f t="shared" si="8"/>
        <v>0.10702054794520549</v>
      </c>
      <c r="AT26" s="10"/>
      <c r="AU26" s="10"/>
      <c r="AV26" s="10"/>
    </row>
    <row r="27" spans="1:48" x14ac:dyDescent="0.25">
      <c r="A27" s="23" t="s">
        <v>37</v>
      </c>
      <c r="B27" s="24" t="s">
        <v>289</v>
      </c>
      <c r="C27" s="109"/>
      <c r="D27" s="22">
        <f>IFERROR((s_TR/(up_RadSpec!I27*s_EF_cw*s_ED_con*s_IRS_cw*(1/1000)))*1,".")</f>
        <v>1.0666666666666667E-6</v>
      </c>
      <c r="E27" s="22">
        <f>IFERROR(IF(A27="H-3",(s_TR/(up_RadSpec!G27*s_EF_cw*s_ED_con*s_ET_cw_o*(1/24)*s_IRA_cw*(1/17)*1000))*1,(s_TR/(up_RadSpec!G27*s_EF_cw*s_ED_con*s_ET_cw_o*(1/24)*s_IRA_cw*(1/s_PEFsc)*1000))*1),".")</f>
        <v>2.1694802535592709E-6</v>
      </c>
      <c r="F27" s="22">
        <f>IFERROR((s_TR/(up_RadSpec!F27*s_EF_cw*(1/365)*s_ED_con*up_RadSpec!Q27*s_ET_cw_o*(1/24)*up_RadSpec!V27))*1,".")</f>
        <v>8.6215717467387877E-4</v>
      </c>
      <c r="G27" s="22">
        <f t="shared" si="0"/>
        <v>7.1448996849877792E-7</v>
      </c>
      <c r="H27" s="43">
        <f t="shared" si="1"/>
        <v>9.375</v>
      </c>
      <c r="I27" s="43">
        <f t="shared" si="2"/>
        <v>4.6093989487085221</v>
      </c>
      <c r="J27" s="43">
        <f>s_C*s_EF_cw*(1/365)*s_ED_con*(s_ET_cw_i+s_ET_cw_o)*(1/24)*up_RadSpec!V27*up_RadSpec!Q27*1</f>
        <v>1.159881317902692E-2</v>
      </c>
      <c r="K27" s="4"/>
      <c r="L27" s="4"/>
      <c r="M27" s="4"/>
      <c r="N27" s="4"/>
      <c r="O27" s="22">
        <f>IFERROR((s_TR/(up_RadSpec!I27*s_EF_cw*s_ED_con*s_IRS_cw*(1/1000)))*1,".")</f>
        <v>1.0666666666666667E-6</v>
      </c>
      <c r="P27" s="22">
        <f>IFERROR(IF(A27="H-3",(s_TR/(up_RadSpec!G27*s_EF_cw*s_ED_con*s_ET_cw_o*(1/24)*s_IRA_cw*(1/17)*1000))*1,(s_TR/(up_RadSpec!G27*s_EF_cw*s_ED_con*s_ET_cw_o*(1/24)*s_IRA_cw*(1/s_PEF__sc)*1000))*1),".")</f>
        <v>1.3644722035813288E-5</v>
      </c>
      <c r="Q27" s="22">
        <f>IFERROR((s_TR/(up_RadSpec!F27*s_EF_cw*(1/365)*s_ED_con*up_RadSpec!Q27*s_ET_cw_o*(1/24)*up_RadSpec!V27))*1,".")</f>
        <v>8.6215717467387877E-4</v>
      </c>
      <c r="R27" s="22">
        <f t="shared" si="9"/>
        <v>9.8819278350575183E-7</v>
      </c>
      <c r="S27" s="43">
        <f t="shared" si="4"/>
        <v>9.375</v>
      </c>
      <c r="T27" s="43">
        <f t="shared" si="5"/>
        <v>0.73288411253472296</v>
      </c>
      <c r="U27" s="43">
        <f>s_C*s_EF_cw*(1/365)*s_ED_con*(s_ET_cw_i+s_ET_cw_o)*(1/24)*up_RadSpec!V27*up_RadSpec!Q27*1</f>
        <v>1.159881317902692E-2</v>
      </c>
      <c r="V27" s="11"/>
      <c r="W27" s="11"/>
      <c r="X27" s="11"/>
      <c r="Y27" s="11"/>
      <c r="Z27" s="22">
        <f>IFERROR((s_TR/(up_RadSpec!F27*s_EF_cw*(1/365)*s_ED_con*up_RadSpec!Q27*s_ET_cw_o*(1/24)*up_RadSpec!V27))*1,".")</f>
        <v>8.6215717467387877E-4</v>
      </c>
      <c r="AA27" s="22">
        <f>IFERROR((s_TR/(up_RadSpec!M27*s_EF_cw*(1/365)*s_ED_con*up_RadSpec!R27*s_ET_cw_o*(1/24)*up_RadSpec!W27))*1,".")</f>
        <v>2.5573052631578963E-3</v>
      </c>
      <c r="AB27" s="22">
        <f>IFERROR((s_TR/(up_RadSpec!N27*s_EF_cw*(1/365)*s_ED_con*up_RadSpec!S27*s_ET_cw_o*(1/24)*up_RadSpec!X27))*1,".")</f>
        <v>1.5678204264870932E-3</v>
      </c>
      <c r="AC27" s="22">
        <f>IFERROR((s_TR/(up_RadSpec!O27*s_EF_cw*(1/365)*s_ED_con*up_RadSpec!T27*s_ET_cw_o*(1/24)*up_RadSpec!Y27))*1,".")</f>
        <v>1.1405287915652882E-3</v>
      </c>
      <c r="AD27" s="22">
        <f>IFERROR((s_TR/(up_RadSpec!K27*s_EF_cw*(1/365)*s_ED_con*up_RadSpec!P27*s_ET_cw_o*(1/24)*up_RadSpec!U27))*1,".")</f>
        <v>7.9992059553349905E-3</v>
      </c>
      <c r="AE27" s="43">
        <f>s_C*s_EF_cw*(1/365)*s_ED_con*(s_ET_cw_i+s_ET_cw_o)*(1/24)*up_RadSpec!V27*up_RadSpec!Q27*1</f>
        <v>1.159881317902692E-2</v>
      </c>
      <c r="AF27" s="43">
        <f>s_C*s_EF_cw*(1/365)*s_ED_con*(s_ET_cw_i+s_ET_cw_o)*(1/24)*up_RadSpec!W27*up_RadSpec!R27*1</f>
        <v>3.9103661749209677E-3</v>
      </c>
      <c r="AG27" s="43">
        <f>s_C*s_EF_cw*(1/365)*s_ED_con*(s_ET_cw_i+s_ET_cw_o)*(1/24)*up_RadSpec!X27*up_RadSpec!S27*1</f>
        <v>6.3782814862326483E-3</v>
      </c>
      <c r="AH27" s="43">
        <f>s_C*s_EF_cw*(1/365)*s_ED_con*(s_ET_cw_i+s_ET_cw_o)*(1/24)*up_RadSpec!Y27*up_RadSpec!T27*1</f>
        <v>8.7678628316570327E-3</v>
      </c>
      <c r="AI27" s="43">
        <f>s_C*s_EF_cw*(1/365)*s_ED_con*(s_ET_cw_i+s_ET_cw_o)*(1/24)*up_RadSpec!U27*up_RadSpec!P27*1</f>
        <v>1.2501240817947188E-3</v>
      </c>
      <c r="AJ27" s="11"/>
      <c r="AK27" s="11"/>
      <c r="AL27" s="11"/>
      <c r="AM27" s="11"/>
      <c r="AN27" s="11"/>
      <c r="AO27" s="22">
        <f>IFERROR(s_TR/(up_RadSpec!G27*s_EF_cw*s_ED_con*s_ET_cw_o*(1/24)*s_IRA_cw),".")</f>
        <v>4.2666666666666668E-9</v>
      </c>
      <c r="AP27" s="22">
        <f>IFERROR(s_TR/(up_RadSpec!J27*s_EF_cw*(1/365)*s_ED_con*s_ET_cw_o*(1/24)*s_GSF_a),".")</f>
        <v>9.344E-5</v>
      </c>
      <c r="AQ27" s="22">
        <f t="shared" si="10"/>
        <v>4.2664718506004295E-9</v>
      </c>
      <c r="AR27" s="43">
        <f t="shared" si="7"/>
        <v>2343.75</v>
      </c>
      <c r="AS27" s="43">
        <f t="shared" si="8"/>
        <v>0.10702054794520549</v>
      </c>
      <c r="AT27" s="10"/>
      <c r="AU27" s="10"/>
      <c r="AV27" s="10"/>
    </row>
    <row r="28" spans="1:48" x14ac:dyDescent="0.25">
      <c r="A28" s="23" t="s">
        <v>38</v>
      </c>
      <c r="B28" s="24" t="s">
        <v>289</v>
      </c>
      <c r="C28" s="2"/>
      <c r="D28" s="22">
        <f>IFERROR((s_TR/(up_RadSpec!I28*s_EF_cw*s_ED_con*s_IRS_cw*(1/1000)))*1,".")</f>
        <v>1.0666666666666667E-6</v>
      </c>
      <c r="E28" s="22">
        <f>IFERROR(IF(A28="H-3",(s_TR/(up_RadSpec!G28*s_EF_cw*s_ED_con*s_ET_cw_o*(1/24)*s_IRA_cw*(1/17)*1000))*1,(s_TR/(up_RadSpec!G28*s_EF_cw*s_ED_con*s_ET_cw_o*(1/24)*s_IRA_cw*(1/s_PEFsc)*1000))*1),".")</f>
        <v>2.1694802535592709E-6</v>
      </c>
      <c r="F28" s="22">
        <f>IFERROR((s_TR/(up_RadSpec!F28*s_EF_cw*(1/365)*s_ED_con*up_RadSpec!Q28*s_ET_cw_o*(1/24)*up_RadSpec!V28))*1,".")</f>
        <v>3.8151233055691656E-4</v>
      </c>
      <c r="G28" s="22">
        <f t="shared" si="0"/>
        <v>7.137447762296779E-7</v>
      </c>
      <c r="H28" s="43">
        <f t="shared" si="1"/>
        <v>9.375</v>
      </c>
      <c r="I28" s="43">
        <f t="shared" si="2"/>
        <v>4.6093989487085221</v>
      </c>
      <c r="J28" s="43">
        <f>s_C*s_EF_cw*(1/365)*s_ED_con*(s_ET_cw_i+s_ET_cw_o)*(1/24)*up_RadSpec!V28*up_RadSpec!Q28*1</f>
        <v>2.6211472602739729E-2</v>
      </c>
      <c r="K28" s="4"/>
      <c r="L28" s="4"/>
      <c r="M28" s="4"/>
      <c r="N28" s="4"/>
      <c r="O28" s="22">
        <f>IFERROR((s_TR/(up_RadSpec!I28*s_EF_cw*s_ED_con*s_IRS_cw*(1/1000)))*1,".")</f>
        <v>1.0666666666666667E-6</v>
      </c>
      <c r="P28" s="22">
        <f>IFERROR(IF(A28="H-3",(s_TR/(up_RadSpec!G28*s_EF_cw*s_ED_con*s_ET_cw_o*(1/24)*s_IRA_cw*(1/17)*1000))*1,(s_TR/(up_RadSpec!G28*s_EF_cw*s_ED_con*s_ET_cw_o*(1/24)*s_IRA_cw*(1/s_PEF__sc)*1000))*1),".")</f>
        <v>1.3644722035813288E-5</v>
      </c>
      <c r="Q28" s="22">
        <f>IFERROR((s_TR/(up_RadSpec!F28*s_EF_cw*(1/365)*s_ED_con*up_RadSpec!Q28*s_ET_cw_o*(1/24)*up_RadSpec!V28))*1,".")</f>
        <v>3.8151233055691656E-4</v>
      </c>
      <c r="R28" s="22">
        <f t="shared" si="9"/>
        <v>9.8676787839517472E-7</v>
      </c>
      <c r="S28" s="43">
        <f t="shared" si="4"/>
        <v>9.375</v>
      </c>
      <c r="T28" s="43">
        <f t="shared" si="5"/>
        <v>0.73288411253472296</v>
      </c>
      <c r="U28" s="43">
        <f>s_C*s_EF_cw*(1/365)*s_ED_con*(s_ET_cw_i+s_ET_cw_o)*(1/24)*up_RadSpec!V28*up_RadSpec!Q28*1</f>
        <v>2.6211472602739729E-2</v>
      </c>
      <c r="V28" s="11"/>
      <c r="W28" s="11"/>
      <c r="X28" s="11"/>
      <c r="Y28" s="11"/>
      <c r="Z28" s="22">
        <f>IFERROR((s_TR/(up_RadSpec!F28*s_EF_cw*(1/365)*s_ED_con*up_RadSpec!Q28*s_ET_cw_o*(1/24)*up_RadSpec!V28))*1,".")</f>
        <v>3.8151233055691656E-4</v>
      </c>
      <c r="AA28" s="22">
        <f>IFERROR((s_TR/(up_RadSpec!M28*s_EF_cw*(1/365)*s_ED_con*up_RadSpec!R28*s_ET_cw_o*(1/24)*up_RadSpec!W28))*1,".")</f>
        <v>8.5071919377004146E-4</v>
      </c>
      <c r="AB28" s="22">
        <f>IFERROR((s_TR/(up_RadSpec!N28*s_EF_cw*(1/365)*s_ED_con*up_RadSpec!S28*s_ET_cw_o*(1/24)*up_RadSpec!X28))*1,".")</f>
        <v>5.9064475347661159E-4</v>
      </c>
      <c r="AC28" s="22">
        <f>IFERROR((s_TR/(up_RadSpec!O28*s_EF_cw*(1/365)*s_ED_con*up_RadSpec!T28*s_ET_cw_o*(1/24)*up_RadSpec!Y28))*1,".")</f>
        <v>5.1138189134808832E-4</v>
      </c>
      <c r="AD28" s="22">
        <f>IFERROR((s_TR/(up_RadSpec!K28*s_EF_cw*(1/365)*s_ED_con*up_RadSpec!P28*s_ET_cw_o*(1/24)*up_RadSpec!U28))*1,".")</f>
        <v>1.4955343915343923E-3</v>
      </c>
      <c r="AE28" s="43">
        <f>s_C*s_EF_cw*(1/365)*s_ED_con*(s_ET_cw_i+s_ET_cw_o)*(1/24)*up_RadSpec!V28*up_RadSpec!Q28*1</f>
        <v>2.6211472602739729E-2</v>
      </c>
      <c r="AF28" s="43">
        <f>s_C*s_EF_cw*(1/365)*s_ED_con*(s_ET_cw_i+s_ET_cw_o)*(1/24)*up_RadSpec!W28*up_RadSpec!R28*1</f>
        <v>1.1754760058585336E-2</v>
      </c>
      <c r="AG28" s="43">
        <f>s_C*s_EF_cw*(1/365)*s_ED_con*(s_ET_cw_i+s_ET_cw_o)*(1/24)*up_RadSpec!X28*up_RadSpec!S28*1</f>
        <v>1.6930650684931516E-2</v>
      </c>
      <c r="AH28" s="43">
        <f>s_C*s_EF_cw*(1/365)*s_ED_con*(s_ET_cw_i+s_ET_cw_o)*(1/24)*up_RadSpec!Y28*up_RadSpec!T28*1</f>
        <v>1.9554857473811454E-2</v>
      </c>
      <c r="AI28" s="43">
        <f>s_C*s_EF_cw*(1/365)*s_ED_con*(s_ET_cw_i+s_ET_cw_o)*(1/24)*up_RadSpec!U28*up_RadSpec!P28*1</f>
        <v>6.6865730782293652E-3</v>
      </c>
      <c r="AJ28" s="11"/>
      <c r="AK28" s="11"/>
      <c r="AL28" s="11"/>
      <c r="AM28" s="11"/>
      <c r="AN28" s="11"/>
      <c r="AO28" s="22">
        <f>IFERROR(s_TR/(up_RadSpec!G28*s_EF_cw*s_ED_con*s_ET_cw_o*(1/24)*s_IRA_cw),".")</f>
        <v>4.2666666666666668E-9</v>
      </c>
      <c r="AP28" s="22">
        <f>IFERROR(s_TR/(up_RadSpec!J28*s_EF_cw*(1/365)*s_ED_con*s_ET_cw_o*(1/24)*s_GSF_a),".")</f>
        <v>9.344E-5</v>
      </c>
      <c r="AQ28" s="22">
        <f t="shared" si="10"/>
        <v>4.2664718506004295E-9</v>
      </c>
      <c r="AR28" s="43">
        <f t="shared" si="7"/>
        <v>2343.75</v>
      </c>
      <c r="AS28" s="43">
        <f t="shared" si="8"/>
        <v>0.10702054794520549</v>
      </c>
      <c r="AT28" s="10"/>
      <c r="AU28" s="10"/>
      <c r="AV28" s="10"/>
    </row>
    <row r="29" spans="1:48" x14ac:dyDescent="0.25">
      <c r="A29" s="23" t="s">
        <v>39</v>
      </c>
      <c r="B29" s="24" t="s">
        <v>289</v>
      </c>
      <c r="C29" s="109"/>
      <c r="D29" s="22">
        <f>IFERROR((s_TR/(up_RadSpec!I29*s_EF_cw*s_ED_con*s_IRS_cw*(1/1000)))*1,".")</f>
        <v>1.0666666666666667E-6</v>
      </c>
      <c r="E29" s="22">
        <f>IFERROR(IF(A29="H-3",(s_TR/(up_RadSpec!G29*s_EF_cw*s_ED_con*s_ET_cw_o*(1/24)*s_IRA_cw*(1/17)*1000))*1,(s_TR/(up_RadSpec!G29*s_EF_cw*s_ED_con*s_ET_cw_o*(1/24)*s_IRA_cw*(1/s_PEFsc)*1000))*1),".")</f>
        <v>2.1694802535592709E-6</v>
      </c>
      <c r="F29" s="22">
        <f>IFERROR((s_TR/(up_RadSpec!F29*s_EF_cw*(1/365)*s_ED_con*up_RadSpec!Q29*s_ET_cw_o*(1/24)*up_RadSpec!V29))*1,".")</f>
        <v>4.1486338797814236E-4</v>
      </c>
      <c r="G29" s="22">
        <f t="shared" si="0"/>
        <v>7.1385213737264704E-7</v>
      </c>
      <c r="H29" s="43">
        <f t="shared" si="1"/>
        <v>9.375</v>
      </c>
      <c r="I29" s="43">
        <f t="shared" si="2"/>
        <v>4.6093989487085221</v>
      </c>
      <c r="J29" s="43">
        <f>s_C*s_EF_cw*(1/365)*s_ED_con*(s_ET_cw_i+s_ET_cw_o)*(1/24)*up_RadSpec!V29*up_RadSpec!Q29*1</f>
        <v>2.410432033719704E-2</v>
      </c>
      <c r="K29" s="4"/>
      <c r="L29" s="4"/>
      <c r="M29" s="4"/>
      <c r="N29" s="4"/>
      <c r="O29" s="22">
        <f>IFERROR((s_TR/(up_RadSpec!I29*s_EF_cw*s_ED_con*s_IRS_cw*(1/1000)))*1,".")</f>
        <v>1.0666666666666667E-6</v>
      </c>
      <c r="P29" s="22">
        <f>IFERROR(IF(A29="H-3",(s_TR/(up_RadSpec!G29*s_EF_cw*s_ED_con*s_ET_cw_o*(1/24)*s_IRA_cw*(1/17)*1000))*1,(s_TR/(up_RadSpec!G29*s_EF_cw*s_ED_con*s_ET_cw_o*(1/24)*s_IRA_cw*(1/s_PEF__sc)*1000))*1),".")</f>
        <v>1.3644722035813288E-5</v>
      </c>
      <c r="Q29" s="22">
        <f>IFERROR((s_TR/(up_RadSpec!F29*s_EF_cw*(1/365)*s_ED_con*up_RadSpec!Q29*s_ET_cw_o*(1/24)*up_RadSpec!V29))*1,".")</f>
        <v>4.1486338797814236E-4</v>
      </c>
      <c r="R29" s="22">
        <f t="shared" si="9"/>
        <v>9.8697309676709639E-7</v>
      </c>
      <c r="S29" s="43">
        <f t="shared" si="4"/>
        <v>9.375</v>
      </c>
      <c r="T29" s="43">
        <f t="shared" si="5"/>
        <v>0.73288411253472296</v>
      </c>
      <c r="U29" s="43">
        <f>s_C*s_EF_cw*(1/365)*s_ED_con*(s_ET_cw_i+s_ET_cw_o)*(1/24)*up_RadSpec!V29*up_RadSpec!Q29*1</f>
        <v>2.410432033719704E-2</v>
      </c>
      <c r="V29" s="11"/>
      <c r="W29" s="11"/>
      <c r="X29" s="11"/>
      <c r="Y29" s="11"/>
      <c r="Z29" s="22">
        <f>IFERROR((s_TR/(up_RadSpec!F29*s_EF_cw*(1/365)*s_ED_con*up_RadSpec!Q29*s_ET_cw_o*(1/24)*up_RadSpec!V29))*1,".")</f>
        <v>4.1486338797814236E-4</v>
      </c>
      <c r="AA29" s="22">
        <f>IFERROR((s_TR/(up_RadSpec!M29*s_EF_cw*(1/365)*s_ED_con*up_RadSpec!R29*s_ET_cw_o*(1/24)*up_RadSpec!W29))*1,".")</f>
        <v>8.2784561403508744E-4</v>
      </c>
      <c r="AB29" s="22">
        <f>IFERROR((s_TR/(up_RadSpec!N29*s_EF_cw*(1/365)*s_ED_con*up_RadSpec!S29*s_ET_cw_o*(1/24)*up_RadSpec!X29))*1,".")</f>
        <v>5.8975369458128077E-4</v>
      </c>
      <c r="AC29" s="22">
        <f>IFERROR((s_TR/(up_RadSpec!O29*s_EF_cw*(1/365)*s_ED_con*up_RadSpec!T29*s_ET_cw_o*(1/24)*up_RadSpec!Y29))*1,".")</f>
        <v>5.0026338461538439E-4</v>
      </c>
      <c r="AD29" s="22">
        <f>IFERROR((s_TR/(up_RadSpec!K29*s_EF_cw*(1/365)*s_ED_con*up_RadSpec!P29*s_ET_cw_o*(1/24)*up_RadSpec!U29))*1,".")</f>
        <v>1.4865454545454546E-3</v>
      </c>
      <c r="AE29" s="43">
        <f>s_C*s_EF_cw*(1/365)*s_ED_con*(s_ET_cw_i+s_ET_cw_o)*(1/24)*up_RadSpec!V29*up_RadSpec!Q29*1</f>
        <v>2.410432033719704E-2</v>
      </c>
      <c r="AF29" s="43">
        <f>s_C*s_EF_cw*(1/365)*s_ED_con*(s_ET_cw_i+s_ET_cw_o)*(1/24)*up_RadSpec!W29*up_RadSpec!R29*1</f>
        <v>1.2079546995795476E-2</v>
      </c>
      <c r="AG29" s="43">
        <f>s_C*s_EF_cw*(1/365)*s_ED_con*(s_ET_cw_i+s_ET_cw_o)*(1/24)*up_RadSpec!X29*up_RadSpec!S29*1</f>
        <v>1.6956231206147681E-2</v>
      </c>
      <c r="AH29" s="43">
        <f>s_C*s_EF_cw*(1/365)*s_ED_con*(s_ET_cw_i+s_ET_cw_o)*(1/24)*up_RadSpec!Y29*up_RadSpec!T29*1</f>
        <v>1.9989470162179199E-2</v>
      </c>
      <c r="AI29" s="43">
        <f>s_C*s_EF_cw*(1/365)*s_ED_con*(s_ET_cw_i+s_ET_cw_o)*(1/24)*up_RadSpec!U29*up_RadSpec!P29*1</f>
        <v>6.7270058708414878E-3</v>
      </c>
      <c r="AJ29" s="11"/>
      <c r="AK29" s="11"/>
      <c r="AL29" s="11"/>
      <c r="AM29" s="11"/>
      <c r="AN29" s="11"/>
      <c r="AO29" s="22">
        <f>IFERROR(s_TR/(up_RadSpec!G29*s_EF_cw*s_ED_con*s_ET_cw_o*(1/24)*s_IRA_cw),".")</f>
        <v>4.2666666666666668E-9</v>
      </c>
      <c r="AP29" s="22">
        <f>IFERROR(s_TR/(up_RadSpec!J29*s_EF_cw*(1/365)*s_ED_con*s_ET_cw_o*(1/24)*s_GSF_a),".")</f>
        <v>9.344E-5</v>
      </c>
      <c r="AQ29" s="22">
        <f t="shared" si="10"/>
        <v>4.2664718506004295E-9</v>
      </c>
      <c r="AR29" s="43">
        <f t="shared" si="7"/>
        <v>2343.75</v>
      </c>
      <c r="AS29" s="43">
        <f t="shared" si="8"/>
        <v>0.10702054794520549</v>
      </c>
      <c r="AT29" s="10"/>
      <c r="AU29" s="10"/>
      <c r="AV29" s="10"/>
    </row>
    <row r="30" spans="1:48" x14ac:dyDescent="0.25">
      <c r="A30" s="23" t="s">
        <v>40</v>
      </c>
      <c r="B30" s="24" t="s">
        <v>289</v>
      </c>
      <c r="C30" s="2"/>
      <c r="D30" s="22">
        <f>IFERROR((s_TR/(up_RadSpec!I30*s_EF_cw*s_ED_con*s_IRS_cw*(1/1000)))*1,".")</f>
        <v>1.0666666666666667E-6</v>
      </c>
      <c r="E30" s="22">
        <f>IFERROR(IF(A30="H-3",(s_TR/(up_RadSpec!G30*s_EF_cw*s_ED_con*s_ET_cw_o*(1/24)*s_IRA_cw*(1/17)*1000))*1,(s_TR/(up_RadSpec!G30*s_EF_cw*s_ED_con*s_ET_cw_o*(1/24)*s_IRA_cw*(1/s_PEFsc)*1000))*1),".")</f>
        <v>2.1694802535592709E-6</v>
      </c>
      <c r="F30" s="22">
        <f>IFERROR((s_TR/(up_RadSpec!F30*s_EF_cw*(1/365)*s_ED_con*up_RadSpec!Q30*s_ET_cw_o*(1/24)*up_RadSpec!V30))*1,".")</f>
        <v>3.8933333333333333E-3</v>
      </c>
      <c r="G30" s="22">
        <f t="shared" si="0"/>
        <v>7.1495126027624174E-7</v>
      </c>
      <c r="H30" s="43">
        <f t="shared" si="1"/>
        <v>9.375</v>
      </c>
      <c r="I30" s="43">
        <f t="shared" si="2"/>
        <v>4.6093989487085221</v>
      </c>
      <c r="J30" s="43">
        <f>s_C*s_EF_cw*(1/365)*s_ED_con*(s_ET_cw_i+s_ET_cw_o)*(1/24)*up_RadSpec!V30*up_RadSpec!Q30*1</f>
        <v>2.5684931506849318E-3</v>
      </c>
      <c r="K30" s="4"/>
      <c r="L30" s="4"/>
      <c r="M30" s="4"/>
      <c r="N30" s="4"/>
      <c r="O30" s="22">
        <f>IFERROR((s_TR/(up_RadSpec!I30*s_EF_cw*s_ED_con*s_IRS_cw*(1/1000)))*1,".")</f>
        <v>1.0666666666666667E-6</v>
      </c>
      <c r="P30" s="22">
        <f>IFERROR(IF(A30="H-3",(s_TR/(up_RadSpec!G30*s_EF_cw*s_ED_con*s_ET_cw_o*(1/24)*s_IRA_cw*(1/17)*1000))*1,(s_TR/(up_RadSpec!G30*s_EF_cw*s_ED_con*s_ET_cw_o*(1/24)*s_IRA_cw*(1/s_PEF__sc)*1000))*1),".")</f>
        <v>1.3644722035813288E-5</v>
      </c>
      <c r="Q30" s="22">
        <f>IFERROR((s_TR/(up_RadSpec!F30*s_EF_cw*(1/365)*s_ED_con*up_RadSpec!Q30*s_ET_cw_o*(1/24)*up_RadSpec!V30))*1,".")</f>
        <v>3.8933333333333333E-3</v>
      </c>
      <c r="R30" s="22">
        <f t="shared" si="9"/>
        <v>9.8907540443606878E-7</v>
      </c>
      <c r="S30" s="43">
        <f t="shared" si="4"/>
        <v>9.375</v>
      </c>
      <c r="T30" s="43">
        <f t="shared" si="5"/>
        <v>0.73288411253472296</v>
      </c>
      <c r="U30" s="43">
        <f>s_C*s_EF_cw*(1/365)*s_ED_con*(s_ET_cw_i+s_ET_cw_o)*(1/24)*up_RadSpec!V30*up_RadSpec!Q30*1</f>
        <v>2.5684931506849318E-3</v>
      </c>
      <c r="V30" s="11"/>
      <c r="W30" s="11"/>
      <c r="X30" s="11"/>
      <c r="Y30" s="11"/>
      <c r="Z30" s="22">
        <f>IFERROR((s_TR/(up_RadSpec!F30*s_EF_cw*(1/365)*s_ED_con*up_RadSpec!Q30*s_ET_cw_o*(1/24)*up_RadSpec!V30))*1,".")</f>
        <v>3.8933333333333333E-3</v>
      </c>
      <c r="AA30" s="22">
        <f>IFERROR((s_TR/(up_RadSpec!M30*s_EF_cw*(1/365)*s_ED_con*up_RadSpec!R30*s_ET_cw_o*(1/24)*up_RadSpec!W30))*1,".")</f>
        <v>1.9073319587628861E-2</v>
      </c>
      <c r="AB30" s="22">
        <f>IFERROR((s_TR/(up_RadSpec!N30*s_EF_cw*(1/365)*s_ED_con*up_RadSpec!S30*s_ET_cw_o*(1/24)*up_RadSpec!X30))*1,".")</f>
        <v>6.8733766233766208E-3</v>
      </c>
      <c r="AC30" s="22">
        <f>IFERROR((s_TR/(up_RadSpec!O30*s_EF_cw*(1/365)*s_ED_con*up_RadSpec!T30*s_ET_cw_o*(1/24)*up_RadSpec!Y30))*1,".")</f>
        <v>5.1161969439728382E-3</v>
      </c>
      <c r="AD30" s="22">
        <f>IFERROR((s_TR/(up_RadSpec!K30*s_EF_cw*(1/365)*s_ED_con*up_RadSpec!P30*s_ET_cw_o*(1/24)*up_RadSpec!U30))*1,".")</f>
        <v>0.46719999999999995</v>
      </c>
      <c r="AE30" s="43">
        <f>s_C*s_EF_cw*(1/365)*s_ED_con*(s_ET_cw_i+s_ET_cw_o)*(1/24)*up_RadSpec!V30*up_RadSpec!Q30*1</f>
        <v>2.5684931506849318E-3</v>
      </c>
      <c r="AF30" s="43">
        <f>s_C*s_EF_cw*(1/365)*s_ED_con*(s_ET_cw_i+s_ET_cw_o)*(1/24)*up_RadSpec!W30*up_RadSpec!R30*1</f>
        <v>5.24292583367926E-4</v>
      </c>
      <c r="AG30" s="43">
        <f>s_C*s_EF_cw*(1/365)*s_ED_con*(s_ET_cw_i+s_ET_cw_o)*(1/24)*up_RadSpec!X30*up_RadSpec!S30*1</f>
        <v>1.4548889938592355E-3</v>
      </c>
      <c r="AH30" s="43">
        <f>s_C*s_EF_cw*(1/365)*s_ED_con*(s_ET_cw_i+s_ET_cw_o)*(1/24)*up_RadSpec!Y30*up_RadSpec!T30*1</f>
        <v>1.954576829138791E-3</v>
      </c>
      <c r="AI30" s="43">
        <f>s_C*s_EF_cw*(1/365)*s_ED_con*(s_ET_cw_i+s_ET_cw_o)*(1/24)*up_RadSpec!U30*up_RadSpec!P30*1</f>
        <v>2.1404109589041099E-5</v>
      </c>
      <c r="AJ30" s="11"/>
      <c r="AK30" s="11"/>
      <c r="AL30" s="11"/>
      <c r="AM30" s="11"/>
      <c r="AN30" s="11"/>
      <c r="AO30" s="22">
        <f>IFERROR(s_TR/(up_RadSpec!G30*s_EF_cw*s_ED_con*s_ET_cw_o*(1/24)*s_IRA_cw),".")</f>
        <v>4.2666666666666668E-9</v>
      </c>
      <c r="AP30" s="22">
        <f>IFERROR(s_TR/(up_RadSpec!J30*s_EF_cw*(1/365)*s_ED_con*s_ET_cw_o*(1/24)*s_GSF_a),".")</f>
        <v>9.344E-5</v>
      </c>
      <c r="AQ30" s="22">
        <f t="shared" si="10"/>
        <v>4.2664718506004295E-9</v>
      </c>
      <c r="AR30" s="43">
        <f t="shared" si="7"/>
        <v>2343.75</v>
      </c>
      <c r="AS30" s="43">
        <f t="shared" si="8"/>
        <v>0.10702054794520549</v>
      </c>
      <c r="AT30" s="10"/>
      <c r="AU30" s="10"/>
      <c r="AV30" s="10"/>
    </row>
    <row r="31" spans="1:48" x14ac:dyDescent="0.25">
      <c r="A31" s="26" t="s">
        <v>13</v>
      </c>
      <c r="B31" s="26" t="s">
        <v>289</v>
      </c>
      <c r="C31" s="110"/>
      <c r="D31" s="27">
        <f>1/SUM(1/D32,1/D33,1/D34,1/D35,1/D36,1/D37,1/D38,1/D39,1/D40,1/D41,1/D42,1/D43,1/D44)</f>
        <v>8.889155563555795E-8</v>
      </c>
      <c r="E31" s="27">
        <f t="shared" ref="E31:G31" si="11">1/SUM(1/E32,1/E33,1/E34,1/E35,1/E36,1/E37,1/E38,1/E39,1/E40,1/E41,1/E42,1/E43,1/E44)</f>
        <v>1.8079544499328904E-7</v>
      </c>
      <c r="F31" s="27">
        <f>1/SUM(1/F32,1/F33,1/F34,1/F35,1/F36,1/F37,1/F38,1/F39,1/F40,1/F41,1/F42,1/F43)</f>
        <v>1.5830138135291565E-4</v>
      </c>
      <c r="G31" s="28">
        <f t="shared" si="11"/>
        <v>5.9569577523930718E-8</v>
      </c>
      <c r="H31" s="45"/>
      <c r="I31" s="45"/>
      <c r="J31" s="45"/>
      <c r="K31" s="46">
        <f>IFERROR(IF(SUM(H32:H44)&gt;0.01,1-EXP(-SUM(H32:H44)),SUM(H32:H44)),".")</f>
        <v>1</v>
      </c>
      <c r="L31" s="46">
        <f>IFERROR(IF(SUM(I32:I44)&gt;0.01,1-EXP(-SUM(I32:I44)),SUM(I32:I44)),".")</f>
        <v>1</v>
      </c>
      <c r="M31" s="46">
        <f>IFERROR(IF(SUM(J32:J44)&gt;0.01,1-EXP(-SUM(J32:J44)),SUM(J32:J44)),".")</f>
        <v>0.27083352588442644</v>
      </c>
      <c r="N31" s="46">
        <f>IFERROR(IF(SUM(H32:J44)&gt;0.01,1-EXP(-SUM(H32:J44)),SUM(H32:J44)),".")</f>
        <v>1</v>
      </c>
      <c r="O31" s="27">
        <f>1/SUM(1/O32,1/O33,1/O34,1/O35,1/O36,1/O37,1/O38,1/O39,1/O40,1/O41,1/O42,1/O43,1/O44)</f>
        <v>8.889155563555795E-8</v>
      </c>
      <c r="P31" s="27">
        <f t="shared" ref="P31" si="12">1/SUM(1/P32,1/P33,1/P34,1/P35,1/P36,1/P37,1/P38,1/P39,1/P40,1/P41,1/P42,1/P43,1/P44)</f>
        <v>1.1370942824795815E-6</v>
      </c>
      <c r="Q31" s="27">
        <f>1/SUM(1/Q32,1/Q33,1/Q34,1/Q35,1/Q36,1/Q37,1/Q38,1/Q39,1/Q40,1/Q41,1/Q42,1/Q43)</f>
        <v>1.5830138135291565E-4</v>
      </c>
      <c r="R31" s="28">
        <f t="shared" ref="R31" si="13">1/SUM(1/R32,1/R33,1/R34,1/R35,1/R36,1/R37,1/R38,1/R39,1/R40,1/R41,1/R42,1/R43,1/R44)</f>
        <v>8.2403450799764252E-8</v>
      </c>
      <c r="S31" s="45"/>
      <c r="T31" s="45"/>
      <c r="U31" s="45"/>
      <c r="V31" s="46">
        <f>IFERROR(IF(SUM(S32:S44)&gt;0.01,1-EXP(-SUM(S32:S44)),SUM(S32:S44)),".")</f>
        <v>1</v>
      </c>
      <c r="W31" s="46">
        <f>IFERROR(IF(SUM(T32:T44)&gt;0.01,1-EXP(-SUM(T32:T44)),SUM(T32:T44)),".")</f>
        <v>1</v>
      </c>
      <c r="X31" s="46">
        <f>IFERROR(IF(SUM(U32:U44)&gt;0.01,1-EXP(-SUM(U32:U44)),SUM(U32:U44)),".")</f>
        <v>0.27083352588442644</v>
      </c>
      <c r="Y31" s="46">
        <f>IFERROR(IF(SUM(S32:U44)&gt;0.01,1-EXP(-SUM(S32:U44)),SUM(S32:U44)),".")</f>
        <v>1</v>
      </c>
      <c r="Z31" s="27">
        <f t="shared" ref="Z31:AD31" si="14">1/SUM(1/Z32,1/Z33,1/Z34,1/Z35,1/Z36,1/Z37,1/Z38,1/Z39,1/Z40,1/Z41,1/Z42,1/Z43)</f>
        <v>1.5830138135291565E-4</v>
      </c>
      <c r="AA31" s="27">
        <f t="shared" si="14"/>
        <v>2.9254739663590385E-4</v>
      </c>
      <c r="AB31" s="27">
        <f t="shared" si="14"/>
        <v>2.0669999225221919E-4</v>
      </c>
      <c r="AC31" s="27">
        <f t="shared" si="14"/>
        <v>1.7956401677147801E-4</v>
      </c>
      <c r="AD31" s="27">
        <f t="shared" si="14"/>
        <v>6.1803173960821951E-4</v>
      </c>
      <c r="AE31" s="45"/>
      <c r="AF31" s="37"/>
      <c r="AG31" s="37"/>
      <c r="AH31" s="37"/>
      <c r="AI31" s="37"/>
      <c r="AJ31" s="46">
        <f>IFERROR(IF(SUM(AE32:AE44)&gt;0.01,1-EXP(-SUM(AE32:AE44)),SUM(AE32:AE44)),".")</f>
        <v>0.27083352588442644</v>
      </c>
      <c r="AK31" s="46">
        <f t="shared" ref="AK31:AN31" si="15">IFERROR(IF(SUM(AF32:AF44)&gt;0.01,1-EXP(-SUM(AF32:AF44)),SUM(AF32:AF44)),".")</f>
        <v>0.15710465645438598</v>
      </c>
      <c r="AL31" s="46">
        <f t="shared" si="15"/>
        <v>0.21486254716789788</v>
      </c>
      <c r="AM31" s="46">
        <f t="shared" si="15"/>
        <v>0.24304556961621238</v>
      </c>
      <c r="AN31" s="46">
        <f t="shared" si="15"/>
        <v>7.7715923477707061E-2</v>
      </c>
      <c r="AO31" s="27">
        <f t="shared" ref="AO31:AQ31" si="16">1/SUM(1/AO32,1/AO33,1/AO34,1/AO35,1/AO36,1/AO37,1/AO38,1/AO39,1/AO40,1/AO41,1/AO42,1/AO43,1/AO44)</f>
        <v>3.5556622254223183E-10</v>
      </c>
      <c r="AP31" s="27">
        <f t="shared" si="16"/>
        <v>7.7869002736748781E-6</v>
      </c>
      <c r="AQ31" s="28">
        <f t="shared" si="16"/>
        <v>3.5554998738299062E-10</v>
      </c>
      <c r="AR31" s="45"/>
      <c r="AS31" s="45"/>
      <c r="AT31" s="46">
        <f>IFERROR(IF(SUM(AR32:AR44)&gt;0.01,1-EXP(-SUM(AR32:AR44)),SUM(AR32:AR44)),".")</f>
        <v>1</v>
      </c>
      <c r="AU31" s="46">
        <f>IFERROR(IF(SUM(AS32:AS44)&gt;0.01,1-EXP(-SUM(AS32:AS44)),SUM(AS32:AS44)),".")</f>
        <v>0.99837303707724923</v>
      </c>
      <c r="AV31" s="46">
        <f>IFERROR(IF(SUM(AR32:AS44)&gt;0.01,1-EXP(-SUM(AR32:AS44)),SUM(AR32:AS44)),".")</f>
        <v>1</v>
      </c>
    </row>
    <row r="32" spans="1:48" x14ac:dyDescent="0.25">
      <c r="A32" s="29" t="s">
        <v>290</v>
      </c>
      <c r="B32" s="24">
        <v>1</v>
      </c>
      <c r="C32" s="2"/>
      <c r="D32" s="30">
        <f>IFERROR(D3/$B32,0)</f>
        <v>1.0666666666666667E-6</v>
      </c>
      <c r="E32" s="30">
        <f>IFERROR(E3/$B32,0)</f>
        <v>2.1694802535592709E-6</v>
      </c>
      <c r="F32" s="30">
        <f>IFERROR(F3/$B32,0)</f>
        <v>0.32537142857142876</v>
      </c>
      <c r="G32" s="30">
        <f>IF(AND(D32&lt;&gt;0,E32&lt;&gt;0,F32&lt;&gt;0),1/((1/D32)+(1/E32)+(1/F32)),IF(AND(D32&lt;&gt;0,E32&lt;&gt;0,F32=0), 1/((1/D32)+(1/E32)),IF(AND(D32&lt;&gt;0,E32=0,F32&lt;&gt;0),1/((1/D32)+(1/F32)),IF(AND(D32=0,E32&lt;&gt;0,F32&lt;&gt;0),1/((1/E32)+(1/F32)),IF(AND(D32&lt;&gt;0,E32=0,F32=0),1/((1/D32)),IF(AND(D32=0,E32&lt;&gt;0,F32=0),1/((1/E32)),IF(AND(D32=0,E32=0,F32&lt;&gt;0),1/((1/F32)),IF(AND(D32=0,E32=0,F32=0),0))))))))</f>
        <v>7.150810027161104E-7</v>
      </c>
      <c r="H32" s="38">
        <f>IFERROR(up_RadSpec!$I$3*H3,".")*$B$32</f>
        <v>46.875</v>
      </c>
      <c r="I32" s="38">
        <f>IFERROR(up_RadSpec!$G$3*I3,".")*$B$32</f>
        <v>23.046994743542612</v>
      </c>
      <c r="J32" s="38">
        <f>IFERROR(up_RadSpec!$F$3*J3,".")*$B$32</f>
        <v>1.5367053038285912E-4</v>
      </c>
      <c r="K32" s="47">
        <f t="shared" ref="K32:M44" si="17">IFERROR(IF(H32&gt;0.01,1-EXP(-H32),H32),".")</f>
        <v>1</v>
      </c>
      <c r="L32" s="47">
        <f t="shared" si="17"/>
        <v>0.99999999990209221</v>
      </c>
      <c r="M32" s="47">
        <f t="shared" si="17"/>
        <v>1.5367053038285912E-4</v>
      </c>
      <c r="N32" s="47">
        <f>IFERROR(IF(SUM(H32:J32)&gt;0.01,1-EXP(-SUM(H32:J32)),SUM(H32:J32)),".")</f>
        <v>1</v>
      </c>
      <c r="O32" s="30">
        <f>IFERROR(O3/$B32,0)</f>
        <v>1.0666666666666667E-6</v>
      </c>
      <c r="P32" s="30">
        <f>IFERROR(P3/$B32,0)</f>
        <v>1.3644722035813288E-5</v>
      </c>
      <c r="Q32" s="30">
        <f>IFERROR(Q3/$B32,0)</f>
        <v>0.32537142857142876</v>
      </c>
      <c r="R32" s="30">
        <f>IF(AND(O32&lt;&gt;0,P32&lt;&gt;0,Q32&lt;&gt;0),1/((1/O32)+(1/P32)+(1/Q32)),IF(AND(O32&lt;&gt;0,P32&lt;&gt;0,Q32=0), 1/((1/O32)+(1/P32)),IF(AND(O32&lt;&gt;0,P32=0,Q32&lt;&gt;0),1/((1/O32)+(1/Q32)),IF(AND(O32=0,P32&lt;&gt;0,Q32&lt;&gt;0),1/((1/P32)+(1/Q32)),IF(AND(O32&lt;&gt;0,P32=0,Q32=0),1/((1/O32)),IF(AND(O32=0,P32&lt;&gt;0,Q32=0),1/((1/P32)),IF(AND(O32=0,P32=0,Q32&lt;&gt;0),1/((1/Q32)),IF(AND(O32=0,P32=0,Q32=0),0))))))))</f>
        <v>9.8932372815975369E-7</v>
      </c>
      <c r="S32" s="38">
        <f>IFERROR(up_RadSpec!$I$3*S3,".")*$B$32</f>
        <v>46.875</v>
      </c>
      <c r="T32" s="38">
        <f>IFERROR(up_RadSpec!$G$3*T3,".")*$B$32</f>
        <v>3.664420562673615</v>
      </c>
      <c r="U32" s="38">
        <f>IFERROR(up_RadSpec!$F$3*U3,".")*$B$32</f>
        <v>1.5367053038285912E-4</v>
      </c>
      <c r="V32" s="47">
        <f t="shared" ref="V32:X44" si="18">IFERROR(IF(S32&gt;0.01,1-EXP(-S32),S32),".")</f>
        <v>1</v>
      </c>
      <c r="W32" s="47">
        <f t="shared" si="18"/>
        <v>0.97438098840463438</v>
      </c>
      <c r="X32" s="47">
        <f t="shared" si="18"/>
        <v>1.5367053038285912E-4</v>
      </c>
      <c r="Y32" s="47">
        <f>IFERROR(IF(SUM(S32:U32)&gt;0.01,1-EXP(-SUM(S32:U32)),SUM(S32:U32)),".")</f>
        <v>1</v>
      </c>
      <c r="Z32" s="30">
        <f t="shared" ref="Z32:AD32" si="19">IFERROR(Z3/$B32,0)</f>
        <v>0.32537142857142876</v>
      </c>
      <c r="AA32" s="30">
        <f t="shared" si="19"/>
        <v>0.45622390194075596</v>
      </c>
      <c r="AB32" s="30">
        <f t="shared" si="19"/>
        <v>0.34588287292817682</v>
      </c>
      <c r="AC32" s="30">
        <f t="shared" si="19"/>
        <v>0.35654202520643186</v>
      </c>
      <c r="AD32" s="30">
        <f t="shared" si="19"/>
        <v>0.70734671963921436</v>
      </c>
      <c r="AE32" s="38">
        <f>IFERROR(up_RadSpec!$F$3*AE3,".")*$B$32</f>
        <v>1.5367053038285912E-4</v>
      </c>
      <c r="AF32" s="38">
        <f>IFERROR(up_RadSpec!$M$3*AF3,".")*$B$32</f>
        <v>1.095953100819625E-4</v>
      </c>
      <c r="AG32" s="38">
        <f>IFERROR(up_RadSpec!$N$3*AG3,".")*$B$32</f>
        <v>1.4455760580658352E-4</v>
      </c>
      <c r="AH32" s="38">
        <f>IFERROR(up_RadSpec!$O$3*AH3,".")*$B$32</f>
        <v>1.4023592301931544E-4</v>
      </c>
      <c r="AI32" s="38">
        <f>IFERROR(up_RadSpec!$K$3*AI3,".")*$B$32</f>
        <v>7.068669241231903E-5</v>
      </c>
      <c r="AJ32" s="47">
        <f>IFERROR(IF(AE32&gt;0.01,1-EXP(-AE32),AE32),".")</f>
        <v>1.5367053038285912E-4</v>
      </c>
      <c r="AK32" s="47">
        <f t="shared" ref="AK32:AN44" si="20">IFERROR(IF(AF32&gt;0.01,1-EXP(-AF32),AF32),".")</f>
        <v>1.095953100819625E-4</v>
      </c>
      <c r="AL32" s="47">
        <f t="shared" si="20"/>
        <v>1.4455760580658352E-4</v>
      </c>
      <c r="AM32" s="47">
        <f t="shared" si="20"/>
        <v>1.4023592301931544E-4</v>
      </c>
      <c r="AN32" s="47">
        <f t="shared" si="20"/>
        <v>7.068669241231903E-5</v>
      </c>
      <c r="AO32" s="30">
        <f t="shared" ref="AO32:AQ32" si="21">IFERROR(AO3/$B32,0)</f>
        <v>4.2666666666666668E-9</v>
      </c>
      <c r="AP32" s="30">
        <f t="shared" si="21"/>
        <v>9.344E-5</v>
      </c>
      <c r="AQ32" s="30">
        <f t="shared" si="21"/>
        <v>4.2664718506004295E-9</v>
      </c>
      <c r="AR32" s="38">
        <f>IFERROR(up_RadSpec!$G$3*AR3,".")*$B$32</f>
        <v>11718.75</v>
      </c>
      <c r="AS32" s="38">
        <f>IFERROR(up_RadSpec!$J$3*AS3,".")*$B$32</f>
        <v>0.53510273972602751</v>
      </c>
      <c r="AT32" s="47">
        <f>IFERROR(IF(AR32&gt;0.01,1-EXP(-AR32),AR32),".")</f>
        <v>1</v>
      </c>
      <c r="AU32" s="47">
        <f>IFERROR(IF(AS32&gt;0.01,1-EXP(-AS32),AS32),".")</f>
        <v>0.41439087826672238</v>
      </c>
      <c r="AV32" s="47">
        <f>IFERROR(IF(SUM(AR32:AS32)&gt;0.01,1-EXP(-SUM(AR32:AS32)),SUM(AR32:AS32)),".")</f>
        <v>1</v>
      </c>
    </row>
    <row r="33" spans="1:48" x14ac:dyDescent="0.25">
      <c r="A33" s="29" t="s">
        <v>291</v>
      </c>
      <c r="B33" s="24">
        <v>1</v>
      </c>
      <c r="C33" s="2"/>
      <c r="D33" s="30">
        <f t="shared" ref="D33:F34" si="22">IFERROR(D13/$B33,0)</f>
        <v>1.0666666666666667E-6</v>
      </c>
      <c r="E33" s="30">
        <f t="shared" si="22"/>
        <v>2.1694802535592709E-6</v>
      </c>
      <c r="F33" s="30">
        <f t="shared" si="22"/>
        <v>8.0359573132454554E-3</v>
      </c>
      <c r="G33" s="30">
        <f>IF(AND(D33&lt;&gt;0,E33&lt;&gt;0,F33&lt;&gt;0),1/((1/D33)+(1/E33)+(1/F33)),IF(AND(D33&lt;&gt;0,E33&lt;&gt;0,F33=0), 1/((1/D33)+(1/E33)),IF(AND(D33&lt;&gt;0,E33=0,F33&lt;&gt;0),1/((1/D33)+(1/F33)),IF(AND(D33=0,E33&lt;&gt;0,F33&lt;&gt;0),1/((1/E33)+(1/F33)),IF(AND(D33&lt;&gt;0,E33=0,F33=0),1/((1/D33)),IF(AND(D33=0,E33&lt;&gt;0,F33=0),1/((1/E33)),IF(AND(D33=0,E33=0,F33&lt;&gt;0),1/((1/F33)),IF(AND(D33=0,E33=0,F33=0),0))))))))</f>
        <v>7.1501894805966421E-7</v>
      </c>
      <c r="H33" s="38">
        <f>IFERROR(up_RadSpec!$I$13*H13,".")*$B$33</f>
        <v>46.875</v>
      </c>
      <c r="I33" s="38">
        <f>IFERROR(up_RadSpec!$G$13*I13,".")*$B$33</f>
        <v>23.046994743542612</v>
      </c>
      <c r="J33" s="38">
        <f>IFERROR(up_RadSpec!$F$13*J13,".")*$B$33</f>
        <v>6.2220340465953365E-3</v>
      </c>
      <c r="K33" s="47">
        <f t="shared" si="17"/>
        <v>1</v>
      </c>
      <c r="L33" s="47">
        <f t="shared" si="17"/>
        <v>0.99999999990209221</v>
      </c>
      <c r="M33" s="47">
        <f t="shared" si="17"/>
        <v>6.2220340465953365E-3</v>
      </c>
      <c r="N33" s="47">
        <f t="shared" ref="N33:N44" si="23">IFERROR(IF(SUM(H33:J33)&gt;0.01,1-EXP(-SUM(H33:J33)),SUM(H33:J33)),".")</f>
        <v>1</v>
      </c>
      <c r="O33" s="30">
        <f t="shared" ref="O33:Q33" si="24">IFERROR(O13/$B33,0)</f>
        <v>1.0666666666666667E-6</v>
      </c>
      <c r="P33" s="30">
        <f t="shared" si="24"/>
        <v>1.3644722035813288E-5</v>
      </c>
      <c r="Q33" s="30">
        <f t="shared" si="24"/>
        <v>8.0359573132454554E-3</v>
      </c>
      <c r="R33" s="30">
        <f>IF(AND(O33&lt;&gt;0,P33&lt;&gt;0,Q33&lt;&gt;0),1/((1/O33)+(1/P33)+(1/Q33)),IF(AND(O33&lt;&gt;0,P33&lt;&gt;0,Q33=0), 1/((1/O33)+(1/P33)),IF(AND(O33&lt;&gt;0,P33=0,Q33&lt;&gt;0),1/((1/O33)+(1/Q33)),IF(AND(O33=0,P33&lt;&gt;0,Q33&lt;&gt;0),1/((1/P33)+(1/Q33)),IF(AND(O33&lt;&gt;0,P33=0,Q33=0),1/((1/O33)),IF(AND(O33=0,P33&lt;&gt;0,Q33=0),1/((1/P33)),IF(AND(O33=0,P33=0,Q33&lt;&gt;0),1/((1/Q33)),IF(AND(O33=0,P33=0,Q33=0),0))))))))</f>
        <v>9.8920495281712734E-7</v>
      </c>
      <c r="S33" s="38">
        <f>IFERROR(up_RadSpec!$I$13*S13,".")*$B$33</f>
        <v>46.875</v>
      </c>
      <c r="T33" s="38">
        <f>IFERROR(up_RadSpec!$G$13*T13,".")*$B$33</f>
        <v>3.664420562673615</v>
      </c>
      <c r="U33" s="38">
        <f>IFERROR(up_RadSpec!$F$13*U13,".")*$B$33</f>
        <v>6.2220340465953365E-3</v>
      </c>
      <c r="V33" s="47">
        <f t="shared" si="18"/>
        <v>1</v>
      </c>
      <c r="W33" s="47">
        <f t="shared" si="18"/>
        <v>0.97438098840463438</v>
      </c>
      <c r="X33" s="47">
        <f t="shared" si="18"/>
        <v>6.2220340465953365E-3</v>
      </c>
      <c r="Y33" s="47">
        <f t="shared" ref="Y33:Y44" si="25">IFERROR(IF(SUM(S33:U33)&gt;0.01,1-EXP(-SUM(S33:U33)),SUM(S33:U33)),".")</f>
        <v>1</v>
      </c>
      <c r="Z33" s="30">
        <f t="shared" ref="Z33:AD34" si="26">IFERROR(Z13/$B33,0)</f>
        <v>8.0359573132454554E-3</v>
      </c>
      <c r="AA33" s="30">
        <f t="shared" si="26"/>
        <v>1.7524660814046293E-2</v>
      </c>
      <c r="AB33" s="30">
        <f t="shared" si="26"/>
        <v>1.0411276948590379E-2</v>
      </c>
      <c r="AC33" s="30">
        <f t="shared" si="26"/>
        <v>8.5947080513797194E-3</v>
      </c>
      <c r="AD33" s="30">
        <f t="shared" si="26"/>
        <v>0.16859523809523805</v>
      </c>
      <c r="AE33" s="38">
        <f>IFERROR(up_RadSpec!$F$13*AE13,".")*$B$33</f>
        <v>6.2220340465953365E-3</v>
      </c>
      <c r="AF33" s="38">
        <f>IFERROR(up_RadSpec!$M$13*AF13,".")*$B$33</f>
        <v>2.8531222675604777E-3</v>
      </c>
      <c r="AG33" s="38">
        <f>IFERROR(up_RadSpec!$N$13*AG13,".")*$B$33</f>
        <v>4.802484867792293E-3</v>
      </c>
      <c r="AH33" s="38">
        <f>IFERROR(up_RadSpec!$O$13*AH13,".")*$B$33</f>
        <v>5.8175332659465319E-3</v>
      </c>
      <c r="AI33" s="38">
        <f>IFERROR(up_RadSpec!$K$13*AI13,".")*$B$33</f>
        <v>2.965682813161984E-4</v>
      </c>
      <c r="AJ33" s="47">
        <f t="shared" ref="AJ33:AJ44" si="27">IFERROR(IF(AE33&gt;0.01,1-EXP(-AE33),AE33),".")</f>
        <v>6.2220340465953365E-3</v>
      </c>
      <c r="AK33" s="47">
        <f t="shared" si="20"/>
        <v>2.8531222675604777E-3</v>
      </c>
      <c r="AL33" s="47">
        <f t="shared" si="20"/>
        <v>4.802484867792293E-3</v>
      </c>
      <c r="AM33" s="47">
        <f t="shared" si="20"/>
        <v>5.8175332659465319E-3</v>
      </c>
      <c r="AN33" s="47">
        <f t="shared" si="20"/>
        <v>2.965682813161984E-4</v>
      </c>
      <c r="AO33" s="30">
        <f t="shared" ref="AO33:AQ34" si="28">IFERROR(AO13/$B33,0)</f>
        <v>4.2666666666666668E-9</v>
      </c>
      <c r="AP33" s="30">
        <f t="shared" si="28"/>
        <v>9.344E-5</v>
      </c>
      <c r="AQ33" s="30">
        <f t="shared" si="28"/>
        <v>4.2664718506004295E-9</v>
      </c>
      <c r="AR33" s="38">
        <f>IFERROR(up_RadSpec!$G$13*AR13,".")*$B$33</f>
        <v>11718.75</v>
      </c>
      <c r="AS33" s="38">
        <f>IFERROR(up_RadSpec!$J$13*AS13,".")*$B$33</f>
        <v>0.53510273972602751</v>
      </c>
      <c r="AT33" s="47">
        <f t="shared" ref="AT33:AU44" si="29">IFERROR(IF(AR33&gt;0.01,1-EXP(-AR33),AR33),".")</f>
        <v>1</v>
      </c>
      <c r="AU33" s="47">
        <f t="shared" si="29"/>
        <v>0.41439087826672238</v>
      </c>
      <c r="AV33" s="47">
        <f t="shared" ref="AV33:AV44" si="30">IFERROR(IF(SUM(AR33:AS33)&gt;0.01,1-EXP(-SUM(AR33:AS33)),SUM(AR33:AS33)),".")</f>
        <v>1</v>
      </c>
    </row>
    <row r="34" spans="1:48" x14ac:dyDescent="0.25">
      <c r="A34" s="29" t="s">
        <v>292</v>
      </c>
      <c r="B34" s="24">
        <v>1</v>
      </c>
      <c r="C34" s="2"/>
      <c r="D34" s="30">
        <f t="shared" si="22"/>
        <v>1.0666666666666667E-6</v>
      </c>
      <c r="E34" s="30">
        <f t="shared" si="22"/>
        <v>2.1694802535592709E-6</v>
      </c>
      <c r="F34" s="30">
        <f t="shared" si="22"/>
        <v>1.2063359650429512E-3</v>
      </c>
      <c r="G34" s="30">
        <f>IF(AND(D34&lt;&gt;0,E34&lt;&gt;0,F34&lt;&gt;0),1/((1/D34)+(1/E34)+(1/F34)),IF(AND(D34&lt;&gt;0,E34&lt;&gt;0,F34=0), 1/((1/D34)+(1/E34)),IF(AND(D34&lt;&gt;0,E34=0,F34&lt;&gt;0),1/((1/D34)+(1/F34)),IF(AND(D34=0,E34&lt;&gt;0,F34&lt;&gt;0),1/((1/E34)+(1/F34)),IF(AND(D34&lt;&gt;0,E34=0,F34=0),1/((1/D34)),IF(AND(D34=0,E34&lt;&gt;0,F34=0),1/((1/E34)),IF(AND(D34=0,E34=0,F34&lt;&gt;0),1/((1/F34)),IF(AND(D34=0,E34=0,F34=0),0))))))))</f>
        <v>7.1465894423623691E-7</v>
      </c>
      <c r="H34" s="38">
        <f>IFERROR(up_RadSpec!$I$14*H14,".")*$B$34</f>
        <v>46.875</v>
      </c>
      <c r="I34" s="38">
        <f>IFERROR(up_RadSpec!$G$14*I14,".")*$B$33</f>
        <v>23.046994743542612</v>
      </c>
      <c r="J34" s="38">
        <f>IFERROR(up_RadSpec!$F$14*J14,".")*$B$33</f>
        <v>4.1447823366701816E-2</v>
      </c>
      <c r="K34" s="47">
        <f t="shared" si="17"/>
        <v>1</v>
      </c>
      <c r="L34" s="47">
        <f t="shared" si="17"/>
        <v>0.99999999990209221</v>
      </c>
      <c r="M34" s="47">
        <f t="shared" si="17"/>
        <v>4.0600607734163185E-2</v>
      </c>
      <c r="N34" s="47">
        <f t="shared" si="23"/>
        <v>1</v>
      </c>
      <c r="O34" s="30">
        <f t="shared" ref="O34:Q34" si="31">IFERROR(O14/$B34,0)</f>
        <v>1.0666666666666667E-6</v>
      </c>
      <c r="P34" s="30">
        <f t="shared" si="31"/>
        <v>1.3644722035813288E-5</v>
      </c>
      <c r="Q34" s="30">
        <f t="shared" si="31"/>
        <v>1.2063359650429512E-3</v>
      </c>
      <c r="R34" s="30">
        <f>IF(AND(O34&lt;&gt;0,P34&lt;&gt;0,Q34&lt;&gt;0),1/((1/O34)+(1/P34)+(1/Q34)),IF(AND(O34&lt;&gt;0,P34&lt;&gt;0,Q34=0), 1/((1/O34)+(1/P34)),IF(AND(O34&lt;&gt;0,P34=0,Q34&lt;&gt;0),1/((1/O34)+(1/Q34)),IF(AND(O34=0,P34&lt;&gt;0,Q34&lt;&gt;0),1/((1/P34)+(1/Q34)),IF(AND(O34&lt;&gt;0,P34=0,Q34=0),1/((1/O34)),IF(AND(O34=0,P34&lt;&gt;0,Q34=0),1/((1/P34)),IF(AND(O34=0,P34=0,Q34&lt;&gt;0),1/((1/Q34)),IF(AND(O34=0,P34=0,Q34=0),0))))))))</f>
        <v>9.885160456003433E-7</v>
      </c>
      <c r="S34" s="38">
        <f>IFERROR(up_RadSpec!$I$14*S14,".")*$B$34</f>
        <v>46.875</v>
      </c>
      <c r="T34" s="38">
        <f>IFERROR(up_RadSpec!$G$14*T14,".")*$B$33</f>
        <v>3.664420562673615</v>
      </c>
      <c r="U34" s="38">
        <f>IFERROR(up_RadSpec!$F$14*U14,".")*$B$33</f>
        <v>4.1447823366701816E-2</v>
      </c>
      <c r="V34" s="47">
        <f t="shared" si="18"/>
        <v>1</v>
      </c>
      <c r="W34" s="47">
        <f t="shared" si="18"/>
        <v>0.97438098840463438</v>
      </c>
      <c r="X34" s="47">
        <f t="shared" si="18"/>
        <v>4.0600607734163185E-2</v>
      </c>
      <c r="Y34" s="47">
        <f t="shared" si="25"/>
        <v>1</v>
      </c>
      <c r="Z34" s="30">
        <f t="shared" si="26"/>
        <v>1.2063359650429512E-3</v>
      </c>
      <c r="AA34" s="30">
        <f t="shared" si="26"/>
        <v>2.19083086728887E-3</v>
      </c>
      <c r="AB34" s="30">
        <f t="shared" si="26"/>
        <v>1.6197769068435346E-3</v>
      </c>
      <c r="AC34" s="30">
        <f t="shared" si="26"/>
        <v>1.4194050165273189E-3</v>
      </c>
      <c r="AD34" s="30">
        <f t="shared" si="26"/>
        <v>6.1130081300813021E-3</v>
      </c>
      <c r="AE34" s="38">
        <f>IFERROR(up_RadSpec!$F$14*AE14,".")*$B$33</f>
        <v>4.1447823366701816E-2</v>
      </c>
      <c r="AF34" s="38">
        <f>IFERROR(up_RadSpec!$M$14*AF14,".")*$B$33</f>
        <v>2.2822391607926575E-2</v>
      </c>
      <c r="AG34" s="38">
        <f>IFERROR(up_RadSpec!$N$14*AG14,".")*$B$33</f>
        <v>3.0868448481238816E-2</v>
      </c>
      <c r="AH34" s="38">
        <f>IFERROR(up_RadSpec!$O$14*AH14,".")*$B$33</f>
        <v>3.5226027397260273E-2</v>
      </c>
      <c r="AI34" s="38">
        <f>IFERROR(up_RadSpec!$K$14*AI14,".")*$B$33</f>
        <v>8.1792791594626942E-3</v>
      </c>
      <c r="AJ34" s="47">
        <f t="shared" si="27"/>
        <v>4.0600607734163185E-2</v>
      </c>
      <c r="AK34" s="47">
        <f t="shared" si="20"/>
        <v>2.2563930793687792E-2</v>
      </c>
      <c r="AL34" s="47">
        <f t="shared" si="20"/>
        <v>3.0396882550789983E-2</v>
      </c>
      <c r="AM34" s="47">
        <f t="shared" si="20"/>
        <v>3.4612812357698641E-2</v>
      </c>
      <c r="AN34" s="47">
        <f t="shared" si="20"/>
        <v>8.1792791594626942E-3</v>
      </c>
      <c r="AO34" s="30">
        <f t="shared" si="28"/>
        <v>4.2666666666666668E-9</v>
      </c>
      <c r="AP34" s="30">
        <f t="shared" si="28"/>
        <v>9.344E-5</v>
      </c>
      <c r="AQ34" s="30">
        <f t="shared" si="28"/>
        <v>4.2664718506004295E-9</v>
      </c>
      <c r="AR34" s="38">
        <f>IFERROR(up_RadSpec!$G$14*AR14,".")*$B$33</f>
        <v>11718.75</v>
      </c>
      <c r="AS34" s="38">
        <f>IFERROR(up_RadSpec!$J$14*AS14,".")*$B$33</f>
        <v>0.53510273972602751</v>
      </c>
      <c r="AT34" s="47">
        <f t="shared" si="29"/>
        <v>1</v>
      </c>
      <c r="AU34" s="47">
        <f t="shared" si="29"/>
        <v>0.41439087826672238</v>
      </c>
      <c r="AV34" s="47">
        <f t="shared" si="30"/>
        <v>1</v>
      </c>
    </row>
    <row r="35" spans="1:48" x14ac:dyDescent="0.25">
      <c r="A35" s="29" t="s">
        <v>293</v>
      </c>
      <c r="B35" s="24">
        <v>1</v>
      </c>
      <c r="C35" s="2"/>
      <c r="D35" s="30">
        <f>IFERROR(D30/$B35,0)</f>
        <v>1.0666666666666667E-6</v>
      </c>
      <c r="E35" s="30">
        <f>IFERROR(E30/$B35,0)</f>
        <v>2.1694802535592709E-6</v>
      </c>
      <c r="F35" s="30">
        <f>IFERROR(F30/$B35,0)</f>
        <v>3.8933333333333333E-3</v>
      </c>
      <c r="G35" s="30">
        <f t="shared" ref="G35:G61" si="32">IF(AND(D35&lt;&gt;0,E35&lt;&gt;0,F35&lt;&gt;0),1/((1/D35)+(1/E35)+(1/F35)),IF(AND(D35&lt;&gt;0,E35&lt;&gt;0,F35=0), 1/((1/D35)+(1/E35)),IF(AND(D35&lt;&gt;0,E35=0,F35&lt;&gt;0),1/((1/D35)+(1/F35)),IF(AND(D35=0,E35&lt;&gt;0,F35&lt;&gt;0),1/((1/E35)+(1/F35)),IF(AND(D35&lt;&gt;0,E35=0,F35=0),1/((1/D35)),IF(AND(D35=0,E35&lt;&gt;0,F35=0),1/((1/E35)),IF(AND(D35=0,E35=0,F35&lt;&gt;0),1/((1/F35)),IF(AND(D35=0,E35=0,F35=0),0))))))))</f>
        <v>7.1495126027624174E-7</v>
      </c>
      <c r="H35" s="38">
        <f>IFERROR(up_RadSpec!$I$30*H30,".")*$B$35</f>
        <v>46.875</v>
      </c>
      <c r="I35" s="38">
        <f>IFERROR(up_RadSpec!$G$30*I30,".")*$B$35</f>
        <v>23.046994743542612</v>
      </c>
      <c r="J35" s="38">
        <f>IFERROR(up_RadSpec!$F$30*J30,".")*$B$35</f>
        <v>1.2842465753424659E-2</v>
      </c>
      <c r="K35" s="47">
        <f t="shared" si="17"/>
        <v>1</v>
      </c>
      <c r="L35" s="47">
        <f t="shared" si="17"/>
        <v>0.99999999990209221</v>
      </c>
      <c r="M35" s="47">
        <f t="shared" si="17"/>
        <v>1.2760353175299666E-2</v>
      </c>
      <c r="N35" s="47">
        <f t="shared" si="23"/>
        <v>1</v>
      </c>
      <c r="O35" s="30">
        <f>IFERROR(O30/$B35,0)</f>
        <v>1.0666666666666667E-6</v>
      </c>
      <c r="P35" s="30">
        <f>IFERROR(P30/$B35,0)</f>
        <v>1.3644722035813288E-5</v>
      </c>
      <c r="Q35" s="30">
        <f>IFERROR(Q30/$B35,0)</f>
        <v>3.8933333333333333E-3</v>
      </c>
      <c r="R35" s="30">
        <f t="shared" ref="R35:R44" si="33">IF(AND(O35&lt;&gt;0,P35&lt;&gt;0,Q35&lt;&gt;0),1/((1/O35)+(1/P35)+(1/Q35)),IF(AND(O35&lt;&gt;0,P35&lt;&gt;0,Q35=0), 1/((1/O35)+(1/P35)),IF(AND(O35&lt;&gt;0,P35=0,Q35&lt;&gt;0),1/((1/O35)+(1/Q35)),IF(AND(O35=0,P35&lt;&gt;0,Q35&lt;&gt;0),1/((1/P35)+(1/Q35)),IF(AND(O35&lt;&gt;0,P35=0,Q35=0),1/((1/O35)),IF(AND(O35=0,P35&lt;&gt;0,Q35=0),1/((1/P35)),IF(AND(O35=0,P35=0,Q35&lt;&gt;0),1/((1/Q35)),IF(AND(O35=0,P35=0,Q35=0),0))))))))</f>
        <v>9.8907540443606878E-7</v>
      </c>
      <c r="S35" s="38">
        <f>IFERROR(up_RadSpec!$I$30*S30,".")*$B$35</f>
        <v>46.875</v>
      </c>
      <c r="T35" s="38">
        <f>IFERROR(up_RadSpec!$G$30*T30,".")*$B$35</f>
        <v>3.664420562673615</v>
      </c>
      <c r="U35" s="38">
        <f>IFERROR(up_RadSpec!$F$30*U30,".")*$B$35</f>
        <v>1.2842465753424659E-2</v>
      </c>
      <c r="V35" s="47">
        <f t="shared" si="18"/>
        <v>1</v>
      </c>
      <c r="W35" s="47">
        <f t="shared" si="18"/>
        <v>0.97438098840463438</v>
      </c>
      <c r="X35" s="47">
        <f t="shared" si="18"/>
        <v>1.2760353175299666E-2</v>
      </c>
      <c r="Y35" s="47">
        <f t="shared" si="25"/>
        <v>1</v>
      </c>
      <c r="Z35" s="30">
        <f t="shared" ref="Z35:AD35" si="34">IFERROR(Z30/$B35,0)</f>
        <v>3.8933333333333333E-3</v>
      </c>
      <c r="AA35" s="30">
        <f t="shared" si="34"/>
        <v>1.9073319587628861E-2</v>
      </c>
      <c r="AB35" s="30">
        <f t="shared" si="34"/>
        <v>6.8733766233766208E-3</v>
      </c>
      <c r="AC35" s="30">
        <f t="shared" si="34"/>
        <v>5.1161969439728382E-3</v>
      </c>
      <c r="AD35" s="30">
        <f t="shared" si="34"/>
        <v>0.46719999999999995</v>
      </c>
      <c r="AE35" s="38">
        <f>IFERROR(up_RadSpec!$F$30*AE30,".")*$B$35</f>
        <v>1.2842465753424659E-2</v>
      </c>
      <c r="AF35" s="38">
        <f>IFERROR(up_RadSpec!$M$30*AF30,".")*$B$35</f>
        <v>2.62146291683963E-3</v>
      </c>
      <c r="AG35" s="38">
        <f>IFERROR(up_RadSpec!$N$30*AG30,".")*$B$35</f>
        <v>7.2744449692961777E-3</v>
      </c>
      <c r="AH35" s="38">
        <f>IFERROR(up_RadSpec!$O$30*AH30,".")*$B$35</f>
        <v>9.7728841456939559E-3</v>
      </c>
      <c r="AI35" s="38">
        <f>IFERROR(up_RadSpec!$K$30*AI30,".")*$B$35</f>
        <v>1.070205479452055E-4</v>
      </c>
      <c r="AJ35" s="47">
        <f t="shared" si="27"/>
        <v>1.2760353175299666E-2</v>
      </c>
      <c r="AK35" s="47">
        <f t="shared" si="20"/>
        <v>2.62146291683963E-3</v>
      </c>
      <c r="AL35" s="47">
        <f t="shared" si="20"/>
        <v>7.2744449692961777E-3</v>
      </c>
      <c r="AM35" s="47">
        <f t="shared" si="20"/>
        <v>9.7728841456939559E-3</v>
      </c>
      <c r="AN35" s="47">
        <f t="shared" si="20"/>
        <v>1.070205479452055E-4</v>
      </c>
      <c r="AO35" s="30">
        <f t="shared" ref="AO35:AQ35" si="35">IFERROR(AO30/$B35,0)</f>
        <v>4.2666666666666668E-9</v>
      </c>
      <c r="AP35" s="30">
        <f t="shared" si="35"/>
        <v>9.344E-5</v>
      </c>
      <c r="AQ35" s="30">
        <f t="shared" si="35"/>
        <v>4.2664718506004295E-9</v>
      </c>
      <c r="AR35" s="38">
        <f>IFERROR(up_RadSpec!$G$30*AR30,".")*$B$35</f>
        <v>11718.75</v>
      </c>
      <c r="AS35" s="38">
        <f>IFERROR(up_RadSpec!$J$30*AS30,".")*$B$35</f>
        <v>0.53510273972602751</v>
      </c>
      <c r="AT35" s="47">
        <f t="shared" si="29"/>
        <v>1</v>
      </c>
      <c r="AU35" s="47">
        <f t="shared" si="29"/>
        <v>0.41439087826672238</v>
      </c>
      <c r="AV35" s="47">
        <f t="shared" si="30"/>
        <v>1</v>
      </c>
    </row>
    <row r="36" spans="1:48" x14ac:dyDescent="0.25">
      <c r="A36" s="29" t="s">
        <v>294</v>
      </c>
      <c r="B36" s="24">
        <v>1</v>
      </c>
      <c r="C36" s="2"/>
      <c r="D36" s="30">
        <f>IFERROR(D26/$B36,0)</f>
        <v>1.0666666666666667E-6</v>
      </c>
      <c r="E36" s="30">
        <f>IFERROR(E26/$B36,0)</f>
        <v>2.1694802535592709E-6</v>
      </c>
      <c r="F36" s="30">
        <f>IFERROR(F26/$B36,0)</f>
        <v>4.0919727891156445E-3</v>
      </c>
      <c r="G36" s="30">
        <f t="shared" si="32"/>
        <v>7.1495763362868054E-7</v>
      </c>
      <c r="H36" s="38">
        <f>IFERROR(up_RadSpec!$I$26*H26,".")*$B$37</f>
        <v>46.875</v>
      </c>
      <c r="I36" s="38">
        <f>IFERROR(up_RadSpec!$G$26*I26,".")*$B$37</f>
        <v>23.046994743542612</v>
      </c>
      <c r="J36" s="38">
        <f>IFERROR(up_RadSpec!$F$26*J26,".")*$B$37</f>
        <v>1.221904508578269E-2</v>
      </c>
      <c r="K36" s="47">
        <f t="shared" si="17"/>
        <v>1</v>
      </c>
      <c r="L36" s="47">
        <f t="shared" si="17"/>
        <v>0.99999999990209221</v>
      </c>
      <c r="M36" s="47">
        <f t="shared" si="17"/>
        <v>1.2144695688692697E-2</v>
      </c>
      <c r="N36" s="47">
        <f t="shared" si="23"/>
        <v>1</v>
      </c>
      <c r="O36" s="30">
        <f>IFERROR(O26/$B36,0)</f>
        <v>1.0666666666666667E-6</v>
      </c>
      <c r="P36" s="30">
        <f>IFERROR(P26/$B36,0)</f>
        <v>1.3644722035813288E-5</v>
      </c>
      <c r="Q36" s="30">
        <f>IFERROR(Q26/$B36,0)</f>
        <v>4.0919727891156445E-3</v>
      </c>
      <c r="R36" s="30">
        <f t="shared" si="33"/>
        <v>9.8908760206316378E-7</v>
      </c>
      <c r="S36" s="38">
        <f>IFERROR(up_RadSpec!$I$26*S26,".")*$B$37</f>
        <v>46.875</v>
      </c>
      <c r="T36" s="38">
        <f>IFERROR(up_RadSpec!$G$26*T26,".")*$B$37</f>
        <v>3.664420562673615</v>
      </c>
      <c r="U36" s="38">
        <f>IFERROR(up_RadSpec!$F$26*U26,".")*$B$37</f>
        <v>1.221904508578269E-2</v>
      </c>
      <c r="V36" s="47">
        <f t="shared" si="18"/>
        <v>1</v>
      </c>
      <c r="W36" s="47">
        <f t="shared" si="18"/>
        <v>0.97438098840463438</v>
      </c>
      <c r="X36" s="47">
        <f t="shared" si="18"/>
        <v>1.2144695688692697E-2</v>
      </c>
      <c r="Y36" s="47">
        <f t="shared" si="25"/>
        <v>1</v>
      </c>
      <c r="Z36" s="30">
        <f t="shared" ref="Z36:AD36" si="36">IFERROR(Z26/$B36,0)</f>
        <v>4.0919727891156445E-3</v>
      </c>
      <c r="AA36" s="30">
        <f t="shared" si="36"/>
        <v>7.4709308966304979E-3</v>
      </c>
      <c r="AB36" s="30">
        <f t="shared" si="36"/>
        <v>5.3998484210526308E-3</v>
      </c>
      <c r="AC36" s="30">
        <f t="shared" si="36"/>
        <v>4.6189090909090885E-3</v>
      </c>
      <c r="AD36" s="30">
        <f t="shared" si="36"/>
        <v>4.3544594207054796E-2</v>
      </c>
      <c r="AE36" s="38">
        <f>IFERROR(up_RadSpec!$F$26*AE26,".")*$B$37</f>
        <v>1.221904508578269E-2</v>
      </c>
      <c r="AF36" s="38">
        <f>IFERROR(up_RadSpec!$M$26*AF26,".")*$B$37</f>
        <v>6.6926064090019558E-3</v>
      </c>
      <c r="AG36" s="38">
        <f>IFERROR(up_RadSpec!$N$26*AG26,".")*$B$37</f>
        <v>9.2595191755870006E-3</v>
      </c>
      <c r="AH36" s="38">
        <f>IFERROR(up_RadSpec!$O$26*AH26,".")*$B$37</f>
        <v>1.0825066918595506E-2</v>
      </c>
      <c r="AI36" s="38">
        <f>IFERROR(up_RadSpec!$K$26*AI26,".")*$B$37</f>
        <v>1.1482481559536351E-3</v>
      </c>
      <c r="AJ36" s="47">
        <f t="shared" si="27"/>
        <v>1.2144695688692697E-2</v>
      </c>
      <c r="AK36" s="47">
        <f t="shared" si="20"/>
        <v>6.6926064090019558E-3</v>
      </c>
      <c r="AL36" s="47">
        <f t="shared" si="20"/>
        <v>9.2595191755870006E-3</v>
      </c>
      <c r="AM36" s="47">
        <f t="shared" si="20"/>
        <v>1.0766686728082786E-2</v>
      </c>
      <c r="AN36" s="47">
        <f t="shared" si="20"/>
        <v>1.1482481559536351E-3</v>
      </c>
      <c r="AO36" s="30">
        <f t="shared" ref="AO36:AQ36" si="37">IFERROR(AO26/$B36,0)</f>
        <v>4.2666666666666668E-9</v>
      </c>
      <c r="AP36" s="30">
        <f t="shared" si="37"/>
        <v>9.344E-5</v>
      </c>
      <c r="AQ36" s="30">
        <f t="shared" si="37"/>
        <v>4.2664718506004295E-9</v>
      </c>
      <c r="AR36" s="38">
        <f>IFERROR(up_RadSpec!$G$26*AR26,".")*$B$37</f>
        <v>11718.75</v>
      </c>
      <c r="AS36" s="38">
        <f>IFERROR(up_RadSpec!$J$26*AS26,".")*$B$37</f>
        <v>0.53510273972602751</v>
      </c>
      <c r="AT36" s="47">
        <f t="shared" si="29"/>
        <v>1</v>
      </c>
      <c r="AU36" s="47">
        <f t="shared" si="29"/>
        <v>0.41439087826672238</v>
      </c>
      <c r="AV36" s="47">
        <f t="shared" si="30"/>
        <v>1</v>
      </c>
    </row>
    <row r="37" spans="1:48" x14ac:dyDescent="0.25">
      <c r="A37" s="29" t="s">
        <v>295</v>
      </c>
      <c r="B37" s="24">
        <v>1</v>
      </c>
      <c r="C37" s="2"/>
      <c r="D37" s="30">
        <f>IFERROR(D22/$B37,0)</f>
        <v>1.0666666666666667E-6</v>
      </c>
      <c r="E37" s="30">
        <f>IFERROR(E22/$B37,0)</f>
        <v>2.1694802535592709E-6</v>
      </c>
      <c r="F37" s="30">
        <f>IFERROR(F22/$B37,0)</f>
        <v>2241.8064516129034</v>
      </c>
      <c r="G37" s="30">
        <f t="shared" si="32"/>
        <v>7.1508257405183316E-7</v>
      </c>
      <c r="H37" s="38">
        <f>IFERROR(up_RadSpec!$I$22*H22,".")*$B$37</f>
        <v>46.875</v>
      </c>
      <c r="I37" s="38">
        <f>IFERROR(up_RadSpec!$G$22*I22,".")*$B$37</f>
        <v>23.046994743542612</v>
      </c>
      <c r="J37" s="38">
        <f>IFERROR(up_RadSpec!$F$22*J22,".")*$B$37</f>
        <v>2.2303441924715089E-8</v>
      </c>
      <c r="K37" s="47">
        <f t="shared" si="17"/>
        <v>1</v>
      </c>
      <c r="L37" s="47">
        <f t="shared" si="17"/>
        <v>0.99999999990209221</v>
      </c>
      <c r="M37" s="47">
        <f t="shared" si="17"/>
        <v>2.2303441924715089E-8</v>
      </c>
      <c r="N37" s="47">
        <f t="shared" si="23"/>
        <v>1</v>
      </c>
      <c r="O37" s="30">
        <f>IFERROR(O22/$B37,0)</f>
        <v>1.0666666666666667E-6</v>
      </c>
      <c r="P37" s="30">
        <f>IFERROR(P22/$B37,0)</f>
        <v>1.3644722035813288E-5</v>
      </c>
      <c r="Q37" s="30">
        <f>IFERROR(Q22/$B37,0)</f>
        <v>2241.8064516129034</v>
      </c>
      <c r="R37" s="30">
        <f t="shared" si="33"/>
        <v>9.8932673586809177E-7</v>
      </c>
      <c r="S37" s="38">
        <f>IFERROR(up_RadSpec!$I$22*S22,".")*$B$37</f>
        <v>46.875</v>
      </c>
      <c r="T37" s="38">
        <f>IFERROR(up_RadSpec!$G$22*T22,".")*$B$37</f>
        <v>3.664420562673615</v>
      </c>
      <c r="U37" s="38">
        <f>IFERROR(up_RadSpec!$F$22*U22,".")*$B$37</f>
        <v>2.2303441924715089E-8</v>
      </c>
      <c r="V37" s="47">
        <f t="shared" si="18"/>
        <v>1</v>
      </c>
      <c r="W37" s="47">
        <f t="shared" si="18"/>
        <v>0.97438098840463438</v>
      </c>
      <c r="X37" s="47">
        <f t="shared" si="18"/>
        <v>2.2303441924715089E-8</v>
      </c>
      <c r="Y37" s="47">
        <f t="shared" si="25"/>
        <v>1</v>
      </c>
      <c r="Z37" s="30">
        <f t="shared" ref="Z37:AD37" si="38">IFERROR(Z22/$B37,0)</f>
        <v>2241.8064516129034</v>
      </c>
      <c r="AA37" s="30">
        <f t="shared" si="38"/>
        <v>2054.2137953579613</v>
      </c>
      <c r="AB37" s="30">
        <f t="shared" si="38"/>
        <v>1578.1862446743762</v>
      </c>
      <c r="AC37" s="30">
        <f t="shared" si="38"/>
        <v>1626.2777777777771</v>
      </c>
      <c r="AD37" s="30">
        <f t="shared" si="38"/>
        <v>11539.567159051874</v>
      </c>
      <c r="AE37" s="38">
        <f>IFERROR(up_RadSpec!$F$22*AE22,".")*$B$37</f>
        <v>2.2303441924715089E-8</v>
      </c>
      <c r="AF37" s="38">
        <f>IFERROR(up_RadSpec!$M$22*AF22,".")*$B$37</f>
        <v>2.4340212354229248E-8</v>
      </c>
      <c r="AG37" s="38">
        <f>IFERROR(up_RadSpec!$N$22*AG22,".")*$B$37</f>
        <v>3.1681938788103177E-8</v>
      </c>
      <c r="AH37" s="38">
        <f>IFERROR(up_RadSpec!$O$22*AH22,".")*$B$37</f>
        <v>3.0745055170293462E-8</v>
      </c>
      <c r="AI37" s="38">
        <f>IFERROR(up_RadSpec!$K$22*AI22,".")*$B$37</f>
        <v>4.3329181511612402E-9</v>
      </c>
      <c r="AJ37" s="47">
        <f t="shared" si="27"/>
        <v>2.2303441924715089E-8</v>
      </c>
      <c r="AK37" s="47">
        <f t="shared" si="20"/>
        <v>2.4340212354229248E-8</v>
      </c>
      <c r="AL37" s="47">
        <f t="shared" si="20"/>
        <v>3.1681938788103177E-8</v>
      </c>
      <c r="AM37" s="47">
        <f t="shared" si="20"/>
        <v>3.0745055170293462E-8</v>
      </c>
      <c r="AN37" s="47">
        <f t="shared" si="20"/>
        <v>4.3329181511612402E-9</v>
      </c>
      <c r="AO37" s="30">
        <f t="shared" ref="AO37:AQ37" si="39">IFERROR(AO22/$B37,0)</f>
        <v>4.2666666666666668E-9</v>
      </c>
      <c r="AP37" s="30">
        <f t="shared" si="39"/>
        <v>9.344E-5</v>
      </c>
      <c r="AQ37" s="30">
        <f t="shared" si="39"/>
        <v>4.2664718506004295E-9</v>
      </c>
      <c r="AR37" s="38">
        <f>IFERROR(up_RadSpec!$G$22*AR22,".")*$B$37</f>
        <v>11718.75</v>
      </c>
      <c r="AS37" s="38">
        <f>IFERROR(up_RadSpec!$J$22*AS22,".")*$B$37</f>
        <v>0.53510273972602751</v>
      </c>
      <c r="AT37" s="47">
        <f t="shared" si="29"/>
        <v>1</v>
      </c>
      <c r="AU37" s="47">
        <f t="shared" si="29"/>
        <v>0.41439087826672238</v>
      </c>
      <c r="AV37" s="47">
        <f t="shared" si="30"/>
        <v>1</v>
      </c>
    </row>
    <row r="38" spans="1:48" x14ac:dyDescent="0.25">
      <c r="A38" s="29" t="s">
        <v>296</v>
      </c>
      <c r="B38" s="24">
        <v>1</v>
      </c>
      <c r="C38" s="2"/>
      <c r="D38" s="30">
        <f>IFERROR(D2/$B38,0)</f>
        <v>1.0666666666666667E-6</v>
      </c>
      <c r="E38" s="30">
        <f>IFERROR(E2/$B38,0)</f>
        <v>2.1694802535592709E-6</v>
      </c>
      <c r="F38" s="30">
        <f>IFERROR(F2/$B38,0)</f>
        <v>2.4800240601503759E-3</v>
      </c>
      <c r="G38" s="30">
        <f t="shared" si="32"/>
        <v>7.1487644898475536E-7</v>
      </c>
      <c r="H38" s="38">
        <f>IFERROR(up_RadSpec!$I$2*H2,".")*$B$38</f>
        <v>46.875</v>
      </c>
      <c r="I38" s="38">
        <f>IFERROR(up_RadSpec!$G$2*I2,".")*$B$38</f>
        <v>23.046994743542612</v>
      </c>
      <c r="J38" s="38">
        <f>IFERROR(up_RadSpec!$F$2*J2,".")*$B$38</f>
        <v>2.0161094726221428E-2</v>
      </c>
      <c r="K38" s="47">
        <f t="shared" si="17"/>
        <v>1</v>
      </c>
      <c r="L38" s="47">
        <f t="shared" si="17"/>
        <v>0.99999999990209221</v>
      </c>
      <c r="M38" s="47">
        <f t="shared" si="17"/>
        <v>1.9959218812028334E-2</v>
      </c>
      <c r="N38" s="47">
        <f t="shared" si="23"/>
        <v>1</v>
      </c>
      <c r="O38" s="30">
        <f>IFERROR(O2/$B38,0)</f>
        <v>1.0666666666666667E-6</v>
      </c>
      <c r="P38" s="30">
        <f>IFERROR(P2/$B38,0)</f>
        <v>1.3644722035813288E-5</v>
      </c>
      <c r="Q38" s="30">
        <f>IFERROR(Q2/$B38,0)</f>
        <v>2.4800240601503759E-3</v>
      </c>
      <c r="R38" s="30">
        <f t="shared" si="33"/>
        <v>9.8893223323737813E-7</v>
      </c>
      <c r="S38" s="38">
        <f>IFERROR(up_RadSpec!$I$2*S2,".")*$B$38</f>
        <v>46.875</v>
      </c>
      <c r="T38" s="38">
        <f>IFERROR(up_RadSpec!$G$2*T2,".")*$B$38</f>
        <v>3.664420562673615</v>
      </c>
      <c r="U38" s="38">
        <f>IFERROR(up_RadSpec!$F$2*U2,".")*$B$38</f>
        <v>2.0161094726221428E-2</v>
      </c>
      <c r="V38" s="47">
        <f t="shared" si="18"/>
        <v>1</v>
      </c>
      <c r="W38" s="47">
        <f t="shared" si="18"/>
        <v>0.97438098840463438</v>
      </c>
      <c r="X38" s="47">
        <f t="shared" si="18"/>
        <v>1.9959218812028334E-2</v>
      </c>
      <c r="Y38" s="47">
        <f t="shared" si="25"/>
        <v>1</v>
      </c>
      <c r="Z38" s="30">
        <f t="shared" ref="Z38:AD38" si="40">IFERROR(Z2/$B38,0)</f>
        <v>2.4800240601503759E-3</v>
      </c>
      <c r="AA38" s="30">
        <f t="shared" si="40"/>
        <v>5.014450261780103E-3</v>
      </c>
      <c r="AB38" s="30">
        <f t="shared" si="40"/>
        <v>3.4057570093457929E-3</v>
      </c>
      <c r="AC38" s="30">
        <f t="shared" si="40"/>
        <v>2.830936819172113E-3</v>
      </c>
      <c r="AD38" s="30">
        <f t="shared" si="40"/>
        <v>3.9680945347119655E-2</v>
      </c>
      <c r="AE38" s="38">
        <f>IFERROR(up_RadSpec!$F$2*AE2,".")*$B$38</f>
        <v>2.0161094726221428E-2</v>
      </c>
      <c r="AF38" s="38">
        <f>IFERROR(up_RadSpec!$M$2*AF2,".")*$B$38</f>
        <v>9.9711827597728075E-3</v>
      </c>
      <c r="AG38" s="38">
        <f>IFERROR(up_RadSpec!$N$2*AG2,".")*$B$38</f>
        <v>1.4681023884791016E-2</v>
      </c>
      <c r="AH38" s="38">
        <f>IFERROR(up_RadSpec!$O$2*AH2,".")*$B$38</f>
        <v>1.7661997845159313E-2</v>
      </c>
      <c r="AI38" s="38">
        <f>IFERROR(up_RadSpec!$K$2*AI2,".")*$B$38</f>
        <v>1.2600506253722455E-3</v>
      </c>
      <c r="AJ38" s="47">
        <f t="shared" si="27"/>
        <v>1.9959218812028334E-2</v>
      </c>
      <c r="AK38" s="47">
        <f t="shared" si="20"/>
        <v>9.9711827597728075E-3</v>
      </c>
      <c r="AL38" s="47">
        <f t="shared" si="20"/>
        <v>1.4573783096585302E-2</v>
      </c>
      <c r="AM38" s="47">
        <f t="shared" si="20"/>
        <v>1.7506938986322162E-2</v>
      </c>
      <c r="AN38" s="47">
        <f t="shared" si="20"/>
        <v>1.2600506253722455E-3</v>
      </c>
      <c r="AO38" s="30">
        <f t="shared" ref="AO38:AQ38" si="41">IFERROR(AO2/$B38,0)</f>
        <v>4.2666666666666668E-9</v>
      </c>
      <c r="AP38" s="30">
        <f t="shared" si="41"/>
        <v>9.344E-5</v>
      </c>
      <c r="AQ38" s="30">
        <f t="shared" si="41"/>
        <v>4.2664718506004295E-9</v>
      </c>
      <c r="AR38" s="38">
        <f>IFERROR(up_RadSpec!$G$2*AR2,".")*$B$38</f>
        <v>11718.75</v>
      </c>
      <c r="AS38" s="38">
        <f>IFERROR(up_RadSpec!$J$2*AS2,".")*$B$38</f>
        <v>0.53510273972602751</v>
      </c>
      <c r="AT38" s="47">
        <f t="shared" si="29"/>
        <v>1</v>
      </c>
      <c r="AU38" s="47">
        <f t="shared" si="29"/>
        <v>0.41439087826672238</v>
      </c>
      <c r="AV38" s="47">
        <f t="shared" si="30"/>
        <v>1</v>
      </c>
    </row>
    <row r="39" spans="1:48" x14ac:dyDescent="0.25">
      <c r="A39" s="29" t="s">
        <v>297</v>
      </c>
      <c r="B39" s="24">
        <v>1</v>
      </c>
      <c r="C39" s="2"/>
      <c r="D39" s="30">
        <f>IFERROR(D11/$B39,0)</f>
        <v>1.0666666666666667E-6</v>
      </c>
      <c r="E39" s="30">
        <f>IFERROR(E11/$B39,0)</f>
        <v>2.1694802535592709E-6</v>
      </c>
      <c r="F39" s="30">
        <f>IFERROR(F11/$B39,0)</f>
        <v>2.1819780219780216E-3</v>
      </c>
      <c r="G39" s="30">
        <f t="shared" si="32"/>
        <v>7.1484830264230128E-7</v>
      </c>
      <c r="H39" s="38">
        <f>IFERROR(up_RadSpec!$I$11*H11,".")*$B$39</f>
        <v>46.875</v>
      </c>
      <c r="I39" s="38">
        <f>IFERROR(up_RadSpec!$G$11*I11,".")*$B$39</f>
        <v>23.046994743542612</v>
      </c>
      <c r="J39" s="38">
        <f>IFERROR(up_RadSpec!$F$11*J11,".")*$B$39</f>
        <v>2.2914987912973413E-2</v>
      </c>
      <c r="K39" s="47">
        <f t="shared" si="17"/>
        <v>1</v>
      </c>
      <c r="L39" s="47">
        <f t="shared" si="17"/>
        <v>0.99999999990209221</v>
      </c>
      <c r="M39" s="47">
        <f t="shared" si="17"/>
        <v>2.2654433571939636E-2</v>
      </c>
      <c r="N39" s="47">
        <f t="shared" si="23"/>
        <v>1</v>
      </c>
      <c r="O39" s="30">
        <f>IFERROR(O11/$B39,0)</f>
        <v>1.0666666666666667E-6</v>
      </c>
      <c r="P39" s="30">
        <f>IFERROR(P11/$B39,0)</f>
        <v>1.3644722035813288E-5</v>
      </c>
      <c r="Q39" s="30">
        <f>IFERROR(Q11/$B39,0)</f>
        <v>2.1819780219780216E-3</v>
      </c>
      <c r="R39" s="30">
        <f t="shared" si="33"/>
        <v>9.8887837073855139E-7</v>
      </c>
      <c r="S39" s="38">
        <f>IFERROR(up_RadSpec!$I$11*S11,".")*$B$39</f>
        <v>46.875</v>
      </c>
      <c r="T39" s="38">
        <f>IFERROR(up_RadSpec!$G$11*T11,".")*$B$39</f>
        <v>3.664420562673615</v>
      </c>
      <c r="U39" s="38">
        <f>IFERROR(up_RadSpec!$F$11*U11,".")*$B$39</f>
        <v>2.2914987912973413E-2</v>
      </c>
      <c r="V39" s="47">
        <f t="shared" si="18"/>
        <v>1</v>
      </c>
      <c r="W39" s="47">
        <f t="shared" si="18"/>
        <v>0.97438098840463438</v>
      </c>
      <c r="X39" s="47">
        <f t="shared" si="18"/>
        <v>2.2654433571939636E-2</v>
      </c>
      <c r="Y39" s="47">
        <f t="shared" si="25"/>
        <v>1</v>
      </c>
      <c r="Z39" s="30">
        <f t="shared" ref="Z39:AD39" si="42">IFERROR(Z11/$B39,0)</f>
        <v>2.1819780219780216E-3</v>
      </c>
      <c r="AA39" s="30">
        <f t="shared" si="42"/>
        <v>2.7609233610341646E-3</v>
      </c>
      <c r="AB39" s="30">
        <f t="shared" si="42"/>
        <v>2.1427338129496394E-3</v>
      </c>
      <c r="AC39" s="30">
        <f t="shared" si="42"/>
        <v>2.0410702341137131E-3</v>
      </c>
      <c r="AD39" s="30">
        <f t="shared" si="42"/>
        <v>5.1397959183673465E-3</v>
      </c>
      <c r="AE39" s="38">
        <f>IFERROR(up_RadSpec!$F$11*AE11,".")*$B$39</f>
        <v>2.2914987912973413E-2</v>
      </c>
      <c r="AF39" s="38">
        <f>IFERROR(up_RadSpec!$M$11*AF11,".")*$B$39</f>
        <v>1.8109883347602742E-2</v>
      </c>
      <c r="AG39" s="38">
        <f>IFERROR(up_RadSpec!$N$11*AG11,".")*$B$39</f>
        <v>2.3334676336287948E-2</v>
      </c>
      <c r="AH39" s="38">
        <f>IFERROR(up_RadSpec!$O$11*AH11,".")*$B$39</f>
        <v>2.4496952218653729E-2</v>
      </c>
      <c r="AI39" s="38">
        <f>IFERROR(up_RadSpec!$K$11*AI11,".")*$B$39</f>
        <v>9.7280127059757807E-3</v>
      </c>
      <c r="AJ39" s="47">
        <f t="shared" si="27"/>
        <v>2.2654433571939636E-2</v>
      </c>
      <c r="AK39" s="47">
        <f t="shared" si="20"/>
        <v>1.7946884854558864E-2</v>
      </c>
      <c r="AL39" s="47">
        <f t="shared" si="20"/>
        <v>2.3064528129758677E-2</v>
      </c>
      <c r="AM39" s="47">
        <f t="shared" si="20"/>
        <v>2.4199337059066517E-2</v>
      </c>
      <c r="AN39" s="47">
        <f t="shared" si="20"/>
        <v>9.7280127059757807E-3</v>
      </c>
      <c r="AO39" s="30">
        <f t="shared" ref="AO39:AQ39" si="43">IFERROR(AO11/$B39,0)</f>
        <v>4.2666666666666668E-9</v>
      </c>
      <c r="AP39" s="30">
        <f t="shared" si="43"/>
        <v>9.344E-5</v>
      </c>
      <c r="AQ39" s="30">
        <f t="shared" si="43"/>
        <v>4.2664718506004295E-9</v>
      </c>
      <c r="AR39" s="38">
        <f>IFERROR(up_RadSpec!$G$11*AR11,".")*$B$39</f>
        <v>11718.75</v>
      </c>
      <c r="AS39" s="38">
        <f>IFERROR(up_RadSpec!$J$11*AS11,".")*$B$39</f>
        <v>0.53510273972602751</v>
      </c>
      <c r="AT39" s="47">
        <f t="shared" si="29"/>
        <v>1</v>
      </c>
      <c r="AU39" s="47">
        <f t="shared" si="29"/>
        <v>0.41439087826672238</v>
      </c>
      <c r="AV39" s="47">
        <f t="shared" si="30"/>
        <v>1</v>
      </c>
    </row>
    <row r="40" spans="1:48" x14ac:dyDescent="0.25">
      <c r="A40" s="29" t="s">
        <v>298</v>
      </c>
      <c r="B40" s="24">
        <v>1</v>
      </c>
      <c r="C40" s="2"/>
      <c r="D40" s="30">
        <f>IFERROR(D4/$B40,0)</f>
        <v>1.0666666666666667E-6</v>
      </c>
      <c r="E40" s="30">
        <f>IFERROR(E4/$B40,0)</f>
        <v>2.1694802535592709E-6</v>
      </c>
      <c r="F40" s="30">
        <f>IFERROR(F4/$B40,0)</f>
        <v>1.2112592592592594E-3</v>
      </c>
      <c r="G40" s="30">
        <f t="shared" si="32"/>
        <v>7.1466066511041048E-7</v>
      </c>
      <c r="H40" s="38">
        <f>IFERROR(up_RadSpec!$I$4*H4,".")*$B$40</f>
        <v>46.875</v>
      </c>
      <c r="I40" s="38">
        <f>IFERROR(up_RadSpec!$G$4*I4,".")*$B$40</f>
        <v>23.046994743542612</v>
      </c>
      <c r="J40" s="38">
        <f>IFERROR(up_RadSpec!$F$4*J4,".")*$B$40</f>
        <v>4.1279354207436399E-2</v>
      </c>
      <c r="K40" s="47">
        <f t="shared" si="17"/>
        <v>1</v>
      </c>
      <c r="L40" s="47">
        <f t="shared" si="17"/>
        <v>0.99999999990209221</v>
      </c>
      <c r="M40" s="47">
        <f t="shared" si="17"/>
        <v>4.0438964909615294E-2</v>
      </c>
      <c r="N40" s="47">
        <f t="shared" si="23"/>
        <v>1</v>
      </c>
      <c r="O40" s="30">
        <f>IFERROR(O4/$B40,0)</f>
        <v>1.0666666666666667E-6</v>
      </c>
      <c r="P40" s="30">
        <f>IFERROR(P4/$B40,0)</f>
        <v>1.3644722035813288E-5</v>
      </c>
      <c r="Q40" s="30">
        <f>IFERROR(Q4/$B40,0)</f>
        <v>1.2112592592592594E-3</v>
      </c>
      <c r="R40" s="30">
        <f t="shared" si="33"/>
        <v>9.8851933805116735E-7</v>
      </c>
      <c r="S40" s="38">
        <f>IFERROR(up_RadSpec!$I$4*S4,".")*$B$40</f>
        <v>46.875</v>
      </c>
      <c r="T40" s="38">
        <f>IFERROR(up_RadSpec!$G$4*T4,".")*$B$40</f>
        <v>3.664420562673615</v>
      </c>
      <c r="U40" s="38">
        <f>IFERROR(up_RadSpec!$F$4*U4,".")*$B$40</f>
        <v>4.1279354207436399E-2</v>
      </c>
      <c r="V40" s="47">
        <f t="shared" si="18"/>
        <v>1</v>
      </c>
      <c r="W40" s="47">
        <f t="shared" si="18"/>
        <v>0.97438098840463438</v>
      </c>
      <c r="X40" s="47">
        <f t="shared" si="18"/>
        <v>4.0438964909615294E-2</v>
      </c>
      <c r="Y40" s="47">
        <f t="shared" si="25"/>
        <v>1</v>
      </c>
      <c r="Z40" s="30">
        <f t="shared" ref="Z40:AD40" si="44">IFERROR(Z4/$B40,0)</f>
        <v>1.2112592592592594E-3</v>
      </c>
      <c r="AA40" s="30">
        <f t="shared" si="44"/>
        <v>1.9766153846153848E-3</v>
      </c>
      <c r="AB40" s="30">
        <f t="shared" si="44"/>
        <v>1.4219130434782606E-3</v>
      </c>
      <c r="AC40" s="30">
        <f t="shared" si="44"/>
        <v>1.2377701096541677E-3</v>
      </c>
      <c r="AD40" s="30">
        <f t="shared" si="44"/>
        <v>3.6503374942209879E-3</v>
      </c>
      <c r="AE40" s="38">
        <f>IFERROR(up_RadSpec!$F$4*AE4,".")*$B$40</f>
        <v>4.1279354207436399E-2</v>
      </c>
      <c r="AF40" s="38">
        <f>IFERROR(up_RadSpec!$M$4*AF4,".")*$B$40</f>
        <v>2.5295765877957656E-2</v>
      </c>
      <c r="AG40" s="38">
        <f>IFERROR(up_RadSpec!$N$4*AG4,".")*$B$40</f>
        <v>3.5163894324853243E-2</v>
      </c>
      <c r="AH40" s="38">
        <f>IFERROR(up_RadSpec!$O$4*AH4,".")*$B$40</f>
        <v>4.0395223321372645E-2</v>
      </c>
      <c r="AI40" s="38">
        <f>IFERROR(up_RadSpec!$K$4*AI4,".")*$B$40</f>
        <v>1.369736362162601E-2</v>
      </c>
      <c r="AJ40" s="47">
        <f t="shared" si="27"/>
        <v>4.0438964909615294E-2</v>
      </c>
      <c r="AK40" s="47">
        <f t="shared" si="20"/>
        <v>2.4978508709470271E-2</v>
      </c>
      <c r="AL40" s="47">
        <f t="shared" si="20"/>
        <v>3.4552828022181736E-2</v>
      </c>
      <c r="AM40" s="47">
        <f t="shared" si="20"/>
        <v>3.9590212212479825E-2</v>
      </c>
      <c r="AN40" s="47">
        <f t="shared" si="20"/>
        <v>1.3603981585328828E-2</v>
      </c>
      <c r="AO40" s="30">
        <f t="shared" ref="AO40:AQ40" si="45">IFERROR(AO4/$B40,0)</f>
        <v>4.2666666666666668E-9</v>
      </c>
      <c r="AP40" s="30">
        <f t="shared" si="45"/>
        <v>9.344E-5</v>
      </c>
      <c r="AQ40" s="30">
        <f t="shared" si="45"/>
        <v>4.2664718506004295E-9</v>
      </c>
      <c r="AR40" s="38">
        <f>IFERROR(up_RadSpec!$G$4*AR4,".")*$B$40</f>
        <v>11718.75</v>
      </c>
      <c r="AS40" s="38">
        <f>IFERROR(up_RadSpec!$J$4*AS4,".")*$B$40</f>
        <v>0.53510273972602751</v>
      </c>
      <c r="AT40" s="47">
        <f t="shared" si="29"/>
        <v>1</v>
      </c>
      <c r="AU40" s="47">
        <f t="shared" si="29"/>
        <v>0.41439087826672238</v>
      </c>
      <c r="AV40" s="47">
        <f t="shared" si="30"/>
        <v>1</v>
      </c>
    </row>
    <row r="41" spans="1:48" x14ac:dyDescent="0.25">
      <c r="A41" s="29" t="s">
        <v>299</v>
      </c>
      <c r="B41" s="31">
        <v>0.99987999999999999</v>
      </c>
      <c r="C41" s="111"/>
      <c r="D41" s="30">
        <f>IFERROR(D8/$B41,0)</f>
        <v>1.0667946820285102E-6</v>
      </c>
      <c r="E41" s="30">
        <f>IFERROR(E8/$B41,0)</f>
        <v>2.1697406224339629E-6</v>
      </c>
      <c r="F41" s="30">
        <f>IFERROR(F8/$B41,0)</f>
        <v>7.7445757579307347E-4</v>
      </c>
      <c r="G41" s="30">
        <f t="shared" si="32"/>
        <v>7.1450858564296811E-7</v>
      </c>
      <c r="H41" s="38">
        <f>IFERROR(up_RadSpec!$I$8*H8,".")*$B$41</f>
        <v>46.869374999999998</v>
      </c>
      <c r="I41" s="38">
        <f>IFERROR(up_RadSpec!$G$8*I8,".")*$B$41</f>
        <v>23.044229104173386</v>
      </c>
      <c r="J41" s="38">
        <f>IFERROR(up_RadSpec!$F$8*J8,".")*$B$41</f>
        <v>6.4561315639269382E-2</v>
      </c>
      <c r="K41" s="47">
        <f t="shared" si="17"/>
        <v>1</v>
      </c>
      <c r="L41" s="47">
        <f t="shared" si="17"/>
        <v>0.99999999990182098</v>
      </c>
      <c r="M41" s="47">
        <f t="shared" si="17"/>
        <v>6.2521369601786447E-2</v>
      </c>
      <c r="N41" s="47">
        <f t="shared" si="23"/>
        <v>1</v>
      </c>
      <c r="O41" s="30">
        <f>IFERROR(O8/$B41,0)</f>
        <v>1.0667946820285102E-6</v>
      </c>
      <c r="P41" s="30">
        <f>IFERROR(P8/$B41,0)</f>
        <v>1.3646359598965164E-5</v>
      </c>
      <c r="Q41" s="30">
        <f>IFERROR(Q8/$B41,0)</f>
        <v>7.7445757579307347E-4</v>
      </c>
      <c r="R41" s="30">
        <f t="shared" si="33"/>
        <v>9.8818296915072069E-7</v>
      </c>
      <c r="S41" s="38">
        <f>IFERROR(up_RadSpec!$I$8*S8,".")*$B$41</f>
        <v>46.869374999999998</v>
      </c>
      <c r="T41" s="38">
        <f>IFERROR(up_RadSpec!$G$8*T8,".")*$B$41</f>
        <v>3.6639808322060943</v>
      </c>
      <c r="U41" s="38">
        <f>IFERROR(up_RadSpec!$F$8*U8,".")*$B$41</f>
        <v>6.4561315639269382E-2</v>
      </c>
      <c r="V41" s="47">
        <f t="shared" si="18"/>
        <v>1</v>
      </c>
      <c r="W41" s="47">
        <f t="shared" si="18"/>
        <v>0.97436972046744208</v>
      </c>
      <c r="X41" s="47">
        <f t="shared" si="18"/>
        <v>6.2521369601786447E-2</v>
      </c>
      <c r="Y41" s="47">
        <f t="shared" si="25"/>
        <v>1</v>
      </c>
      <c r="Z41" s="30">
        <f t="shared" ref="Z41:AD41" si="46">IFERROR(Z8/$B41,0)</f>
        <v>7.7445757579307347E-4</v>
      </c>
      <c r="AA41" s="30">
        <f t="shared" si="46"/>
        <v>1.421671614792558E-3</v>
      </c>
      <c r="AB41" s="30">
        <f t="shared" si="46"/>
        <v>1.0376879743335698E-3</v>
      </c>
      <c r="AC41" s="30">
        <f t="shared" si="46"/>
        <v>9.5139607174426761E-4</v>
      </c>
      <c r="AD41" s="30">
        <f t="shared" si="46"/>
        <v>2.6341952980666401E-3</v>
      </c>
      <c r="AE41" s="38">
        <f>IFERROR(up_RadSpec!$F$8*AE8,".")*$B$41</f>
        <v>6.4561315639269382E-2</v>
      </c>
      <c r="AF41" s="38">
        <f>IFERROR(up_RadSpec!$M$8*AF8,".")*$B$41</f>
        <v>3.5169865867579912E-2</v>
      </c>
      <c r="AG41" s="38">
        <f>IFERROR(up_RadSpec!$N$8*AG8,".")*$B$41</f>
        <v>4.8184041095890411E-2</v>
      </c>
      <c r="AH41" s="38">
        <f>IFERROR(up_RadSpec!$O$8*AH8,".")*$B$41</f>
        <v>5.2554347747443567E-2</v>
      </c>
      <c r="AI41" s="38">
        <f>IFERROR(up_RadSpec!$K$8*AI8,".")*$B$41</f>
        <v>1.8981128710045665E-2</v>
      </c>
      <c r="AJ41" s="47">
        <f t="shared" si="27"/>
        <v>6.2521369601786447E-2</v>
      </c>
      <c r="AK41" s="47">
        <f t="shared" si="20"/>
        <v>3.4558593214006006E-2</v>
      </c>
      <c r="AL41" s="47">
        <f t="shared" si="20"/>
        <v>4.7041612568332614E-2</v>
      </c>
      <c r="AM41" s="47">
        <f t="shared" si="20"/>
        <v>5.1197245637920719E-2</v>
      </c>
      <c r="AN41" s="47">
        <f t="shared" si="20"/>
        <v>1.8802121462239252E-2</v>
      </c>
      <c r="AO41" s="30">
        <f t="shared" ref="AO41:AQ41" si="47">IFERROR(AO8/$B41,0)</f>
        <v>4.2671787281140403E-9</v>
      </c>
      <c r="AP41" s="30">
        <f t="shared" si="47"/>
        <v>9.3451214145697482E-5</v>
      </c>
      <c r="AQ41" s="30">
        <f t="shared" si="47"/>
        <v>4.2669838886670698E-9</v>
      </c>
      <c r="AR41" s="38">
        <f>IFERROR(up_RadSpec!$G$8*AR8,".")*$B$41</f>
        <v>11717.34375</v>
      </c>
      <c r="AS41" s="38">
        <f>IFERROR(up_RadSpec!$J$8*AS8,".")*$B$41</f>
        <v>0.53503852739726043</v>
      </c>
      <c r="AT41" s="47">
        <f t="shared" si="29"/>
        <v>1</v>
      </c>
      <c r="AU41" s="47">
        <f t="shared" si="29"/>
        <v>0.41435327373394426</v>
      </c>
      <c r="AV41" s="47">
        <f t="shared" si="30"/>
        <v>1</v>
      </c>
    </row>
    <row r="42" spans="1:48" x14ac:dyDescent="0.25">
      <c r="A42" s="29" t="s">
        <v>300</v>
      </c>
      <c r="B42" s="24">
        <v>0.97898250799999997</v>
      </c>
      <c r="C42" s="2"/>
      <c r="D42" s="30">
        <f>IFERROR(D19/$B42,0)</f>
        <v>1.0895666244801452E-6</v>
      </c>
      <c r="E42" s="30">
        <f>IFERROR(E19/$B42,0)</f>
        <v>2.2160561969502225E-6</v>
      </c>
      <c r="F42" s="30">
        <f>IFERROR(F19/$B42,0)</f>
        <v>5.4756937953319657E-4</v>
      </c>
      <c r="G42" s="30">
        <f t="shared" si="32"/>
        <v>7.294614042449302E-7</v>
      </c>
      <c r="H42" s="48">
        <f>IFERROR(up_RadSpec!$I$19*H19,".")*$B$42</f>
        <v>45.889805062499995</v>
      </c>
      <c r="I42" s="48">
        <f>IFERROR(up_RadSpec!$G$19*I19,".")*$B$42</f>
        <v>22.562604715896164</v>
      </c>
      <c r="J42" s="48">
        <f>IFERROR(up_RadSpec!$F$19*J19,".")*$B$42</f>
        <v>9.1312629721232871E-2</v>
      </c>
      <c r="K42" s="47">
        <f t="shared" si="17"/>
        <v>1</v>
      </c>
      <c r="L42" s="47">
        <f t="shared" si="17"/>
        <v>0.99999999984107757</v>
      </c>
      <c r="M42" s="47">
        <f t="shared" si="17"/>
        <v>8.726768095986015E-2</v>
      </c>
      <c r="N42" s="47">
        <f t="shared" si="23"/>
        <v>1</v>
      </c>
      <c r="O42" s="30">
        <f>IFERROR(O19/$B42,0)</f>
        <v>1.0895666244801452E-6</v>
      </c>
      <c r="P42" s="30">
        <f>IFERROR(P19/$B42,0)</f>
        <v>1.3937656622372755E-5</v>
      </c>
      <c r="Q42" s="30">
        <f>IFERROR(Q19/$B42,0)</f>
        <v>5.4756937953319657E-4</v>
      </c>
      <c r="R42" s="30">
        <f t="shared" si="33"/>
        <v>1.00870469127244E-6</v>
      </c>
      <c r="S42" s="48">
        <f>IFERROR(up_RadSpec!$I$19*S19,".")*$B$42</f>
        <v>45.889805062499995</v>
      </c>
      <c r="T42" s="48">
        <f>IFERROR(up_RadSpec!$G$19*T19,".")*$B$42</f>
        <v>3.5874036328129866</v>
      </c>
      <c r="U42" s="48">
        <f>IFERROR(up_RadSpec!$F$19*U19,".")*$B$42</f>
        <v>9.1312629721232871E-2</v>
      </c>
      <c r="V42" s="47">
        <f t="shared" si="18"/>
        <v>1</v>
      </c>
      <c r="W42" s="47">
        <f t="shared" si="18"/>
        <v>0.97232992107480076</v>
      </c>
      <c r="X42" s="47">
        <f t="shared" si="18"/>
        <v>8.726768095986015E-2</v>
      </c>
      <c r="Y42" s="47">
        <f t="shared" si="25"/>
        <v>1</v>
      </c>
      <c r="Z42" s="30">
        <f t="shared" ref="Z42:AD42" si="48">IFERROR(Z19/$B42,0)</f>
        <v>5.4756937953319657E-4</v>
      </c>
      <c r="AA42" s="30">
        <f t="shared" si="48"/>
        <v>1.086051071658582E-3</v>
      </c>
      <c r="AB42" s="30">
        <f t="shared" si="48"/>
        <v>7.528497515993562E-4</v>
      </c>
      <c r="AC42" s="30">
        <f t="shared" si="48"/>
        <v>6.2878300943817003E-4</v>
      </c>
      <c r="AD42" s="30">
        <f t="shared" si="48"/>
        <v>1.8702098326107228E-3</v>
      </c>
      <c r="AE42" s="48">
        <f>IFERROR(up_RadSpec!$F$19*AE19,".")*$B$42</f>
        <v>9.1312629721232871E-2</v>
      </c>
      <c r="AF42" s="48">
        <f>IFERROR(up_RadSpec!$M$19*AF19,".")*$B$42</f>
        <v>4.603835059399336E-2</v>
      </c>
      <c r="AG42" s="48">
        <f>IFERROR(up_RadSpec!$N$19*AG19,".")*$B$42</f>
        <v>6.641431426892265E-2</v>
      </c>
      <c r="AH42" s="48">
        <f>IFERROR(up_RadSpec!$O$19*AH19,".")*$B$42</f>
        <v>7.9518688083948047E-2</v>
      </c>
      <c r="AI42" s="48">
        <f>IFERROR(up_RadSpec!$K$19*AI19,".")*$B$42</f>
        <v>2.6734967984957291E-2</v>
      </c>
      <c r="AJ42" s="47">
        <f t="shared" si="27"/>
        <v>8.726768095986015E-2</v>
      </c>
      <c r="AK42" s="47">
        <f t="shared" si="20"/>
        <v>4.4994663533510337E-2</v>
      </c>
      <c r="AL42" s="47">
        <f t="shared" si="20"/>
        <v>6.4256907747744618E-2</v>
      </c>
      <c r="AM42" s="47">
        <f t="shared" si="20"/>
        <v>7.6439239773687051E-2</v>
      </c>
      <c r="AN42" s="47">
        <f t="shared" si="20"/>
        <v>2.6380752396032214E-2</v>
      </c>
      <c r="AO42" s="30">
        <f t="shared" ref="AO42:AQ42" si="49">IFERROR(AO19/$B42,0)</f>
        <v>4.3582664979205811E-9</v>
      </c>
      <c r="AP42" s="30">
        <f t="shared" si="49"/>
        <v>9.544603630446072E-5</v>
      </c>
      <c r="AQ42" s="30">
        <f t="shared" si="49"/>
        <v>4.3580674994046261E-9</v>
      </c>
      <c r="AR42" s="48">
        <f>IFERROR(up_RadSpec!$G$19*AR19,".")*$B$42</f>
        <v>11472.451265624999</v>
      </c>
      <c r="AS42" s="48">
        <f>IFERROR(up_RadSpec!$J$19*AS19,".")*$B$42</f>
        <v>0.52385622217465766</v>
      </c>
      <c r="AT42" s="47">
        <f t="shared" si="29"/>
        <v>1</v>
      </c>
      <c r="AU42" s="47">
        <f t="shared" si="29"/>
        <v>0.40776764063283055</v>
      </c>
      <c r="AV42" s="47">
        <f t="shared" si="30"/>
        <v>1</v>
      </c>
    </row>
    <row r="43" spans="1:48" x14ac:dyDescent="0.25">
      <c r="A43" s="29" t="s">
        <v>301</v>
      </c>
      <c r="B43" s="24">
        <v>2.0897492E-2</v>
      </c>
      <c r="C43" s="2"/>
      <c r="D43" s="30">
        <f>IFERROR(D28/$B43,0)</f>
        <v>5.1042807752560291E-5</v>
      </c>
      <c r="E43" s="30">
        <f>IFERROR(E28/$B43,0)</f>
        <v>1.0381534078631401E-4</v>
      </c>
      <c r="F43" s="30">
        <f>IFERROR(F28/$B43,0)</f>
        <v>1.8256369259857429E-2</v>
      </c>
      <c r="G43" s="30">
        <f t="shared" si="32"/>
        <v>3.4154566310142767E-5</v>
      </c>
      <c r="H43" s="48">
        <f>IFERROR(up_RadSpec!$I$28*H28,".")*$B$43</f>
        <v>0.97956993749999999</v>
      </c>
      <c r="I43" s="48">
        <f>IFERROR(up_RadSpec!$G$28*I28,".")*$B$43</f>
        <v>0.48162438827722381</v>
      </c>
      <c r="J43" s="48">
        <f>IFERROR(up_RadSpec!$F$28*J28,".")*$B$43</f>
        <v>2.7387701951198632E-3</v>
      </c>
      <c r="K43" s="47">
        <f t="shared" si="17"/>
        <v>0.62452745920657637</v>
      </c>
      <c r="L43" s="47">
        <f t="shared" si="17"/>
        <v>0.38222093675104418</v>
      </c>
      <c r="M43" s="47">
        <f t="shared" si="17"/>
        <v>2.7387701951198632E-3</v>
      </c>
      <c r="N43" s="47">
        <f t="shared" si="23"/>
        <v>0.76867533891986184</v>
      </c>
      <c r="O43" s="30">
        <f>IFERROR(O28/$B43,0)</f>
        <v>5.1042807752560291E-5</v>
      </c>
      <c r="P43" s="30">
        <f>IFERROR(P28/$B43,0)</f>
        <v>6.5293586597919449E-4</v>
      </c>
      <c r="Q43" s="30">
        <f>IFERROR(Q28/$B43,0)</f>
        <v>1.8256369259857429E-2</v>
      </c>
      <c r="R43" s="30">
        <f t="shared" si="33"/>
        <v>4.7219440418743775E-5</v>
      </c>
      <c r="S43" s="48">
        <f>IFERROR(up_RadSpec!$I$28*S28,".")*$B$43</f>
        <v>0.97956993749999999</v>
      </c>
      <c r="T43" s="48">
        <f>IFERROR(up_RadSpec!$G$28*T28,".")*$B$43</f>
        <v>7.6577199393107365E-2</v>
      </c>
      <c r="U43" s="48">
        <f>IFERROR(up_RadSpec!$F$28*U28,".")*$B$43</f>
        <v>2.7387701951198632E-3</v>
      </c>
      <c r="V43" s="47">
        <f t="shared" si="18"/>
        <v>0.62452745920657637</v>
      </c>
      <c r="W43" s="47">
        <f t="shared" si="18"/>
        <v>7.3718596833621031E-2</v>
      </c>
      <c r="X43" s="47">
        <f t="shared" si="18"/>
        <v>2.7387701951198632E-3</v>
      </c>
      <c r="Y43" s="47">
        <f t="shared" si="25"/>
        <v>0.65315799061654323</v>
      </c>
      <c r="Z43" s="30">
        <f t="shared" ref="Z43:AD43" si="50">IFERROR(Z28/$B43,0)</f>
        <v>1.8256369259857429E-2</v>
      </c>
      <c r="AA43" s="30">
        <f t="shared" si="50"/>
        <v>4.0709152742828728E-2</v>
      </c>
      <c r="AB43" s="30">
        <f t="shared" si="50"/>
        <v>2.8263906189154735E-2</v>
      </c>
      <c r="AC43" s="30">
        <f t="shared" si="50"/>
        <v>2.4470969595207327E-2</v>
      </c>
      <c r="AD43" s="30">
        <f t="shared" si="50"/>
        <v>7.1565257282280206E-2</v>
      </c>
      <c r="AE43" s="48">
        <f>IFERROR(up_RadSpec!$F$28*AE28,".")*$B$43</f>
        <v>2.7387701951198632E-3</v>
      </c>
      <c r="AF43" s="48">
        <f>IFERROR(up_RadSpec!$M$28*AF28,".")*$B$43</f>
        <v>1.2282250214310328E-3</v>
      </c>
      <c r="AG43" s="48">
        <f>IFERROR(up_RadSpec!$N$28*AG28,".")*$B$43</f>
        <v>1.7690406862157545E-3</v>
      </c>
      <c r="AH43" s="48">
        <f>IFERROR(up_RadSpec!$O$28*AH28,".")*$B$43</f>
        <v>2.0432373881005754E-3</v>
      </c>
      <c r="AI43" s="48">
        <f>IFERROR(up_RadSpec!$K$28*AI28,".")*$B$43</f>
        <v>6.9866303704856775E-4</v>
      </c>
      <c r="AJ43" s="47">
        <f t="shared" si="27"/>
        <v>2.7387701951198632E-3</v>
      </c>
      <c r="AK43" s="47">
        <f t="shared" si="20"/>
        <v>1.2282250214310328E-3</v>
      </c>
      <c r="AL43" s="47">
        <f t="shared" si="20"/>
        <v>1.7690406862157545E-3</v>
      </c>
      <c r="AM43" s="47">
        <f t="shared" si="20"/>
        <v>2.0432373881005754E-3</v>
      </c>
      <c r="AN43" s="47">
        <f t="shared" si="20"/>
        <v>6.9866303704856775E-4</v>
      </c>
      <c r="AO43" s="30">
        <f t="shared" ref="AO43:AQ43" si="51">IFERROR(AO28/$B43,0)</f>
        <v>2.0417123101024118E-7</v>
      </c>
      <c r="AP43" s="30">
        <f t="shared" si="51"/>
        <v>4.4713499591242812E-3</v>
      </c>
      <c r="AQ43" s="30">
        <f t="shared" si="51"/>
        <v>2.0416190854866362E-7</v>
      </c>
      <c r="AR43" s="48">
        <f>IFERROR(up_RadSpec!$G$28*AR28,".")*$B$43</f>
        <v>244.89248437500001</v>
      </c>
      <c r="AS43" s="48">
        <f>IFERROR(up_RadSpec!$J$28*AS28,".")*$B$43</f>
        <v>1.1182305222602742E-2</v>
      </c>
      <c r="AT43" s="47">
        <f t="shared" si="29"/>
        <v>1</v>
      </c>
      <c r="AU43" s="47">
        <f t="shared" si="29"/>
        <v>1.1120015644114467E-2</v>
      </c>
      <c r="AV43" s="47">
        <f t="shared" si="30"/>
        <v>1</v>
      </c>
    </row>
    <row r="44" spans="1:48" x14ac:dyDescent="0.25">
      <c r="A44" s="29" t="s">
        <v>302</v>
      </c>
      <c r="B44" s="24">
        <v>0.99987999999999999</v>
      </c>
      <c r="C44" s="2"/>
      <c r="D44" s="30">
        <f>IFERROR(D15/$B44,0)</f>
        <v>1.0667946820285102E-6</v>
      </c>
      <c r="E44" s="30">
        <f>IFERROR(E15/$B44,0)</f>
        <v>2.1697406224339629E-6</v>
      </c>
      <c r="F44" s="30">
        <f>IFERROR(F15/$B44,0)</f>
        <v>0</v>
      </c>
      <c r="G44" s="30">
        <f t="shared" si="32"/>
        <v>7.1516839448726594E-7</v>
      </c>
      <c r="H44" s="38">
        <f>IFERROR(up_RadSpec!$I$15*H15,".")*$B$44</f>
        <v>46.869374999999998</v>
      </c>
      <c r="I44" s="38">
        <f>IFERROR(up_RadSpec!$G$15*I15,".")*$B$44</f>
        <v>23.044229104173386</v>
      </c>
      <c r="J44" s="38">
        <f>IFERROR(up_RadSpec!$F$15*J15,".")*$B$44</f>
        <v>0</v>
      </c>
      <c r="K44" s="47">
        <f t="shared" si="17"/>
        <v>1</v>
      </c>
      <c r="L44" s="47">
        <f t="shared" si="17"/>
        <v>0.99999999990182098</v>
      </c>
      <c r="M44" s="47">
        <f t="shared" si="17"/>
        <v>0</v>
      </c>
      <c r="N44" s="47">
        <f t="shared" si="23"/>
        <v>1</v>
      </c>
      <c r="O44" s="30">
        <f>IFERROR(O15/$B44,0)</f>
        <v>1.0667946820285102E-6</v>
      </c>
      <c r="P44" s="30">
        <f>IFERROR(P15/$B44,0)</f>
        <v>1.3646359598965164E-5</v>
      </c>
      <c r="Q44" s="30">
        <f>IFERROR(Q15/$B44,0)</f>
        <v>0</v>
      </c>
      <c r="R44" s="30">
        <f t="shared" si="33"/>
        <v>9.8944546976106068E-7</v>
      </c>
      <c r="S44" s="38">
        <f>IFERROR(up_RadSpec!$I$15*S15,".")*$B$44</f>
        <v>46.869374999999998</v>
      </c>
      <c r="T44" s="38">
        <f>IFERROR(up_RadSpec!$G$15*T15,".")*$B$44</f>
        <v>3.6639808322060943</v>
      </c>
      <c r="U44" s="38">
        <f>IFERROR(up_RadSpec!$F$15*U15,".")*$B$44</f>
        <v>0</v>
      </c>
      <c r="V44" s="47">
        <f t="shared" si="18"/>
        <v>1</v>
      </c>
      <c r="W44" s="47">
        <f t="shared" si="18"/>
        <v>0.97436972046744208</v>
      </c>
      <c r="X44" s="47">
        <f t="shared" si="18"/>
        <v>0</v>
      </c>
      <c r="Y44" s="47">
        <f t="shared" si="25"/>
        <v>1</v>
      </c>
      <c r="Z44" s="30">
        <f t="shared" ref="Z44:AD44" si="52">IFERROR(Z15/$B44,0)</f>
        <v>0</v>
      </c>
      <c r="AA44" s="30">
        <f t="shared" si="52"/>
        <v>0</v>
      </c>
      <c r="AB44" s="30">
        <f t="shared" si="52"/>
        <v>0</v>
      </c>
      <c r="AC44" s="30">
        <f t="shared" si="52"/>
        <v>0</v>
      </c>
      <c r="AD44" s="30">
        <f t="shared" si="52"/>
        <v>0</v>
      </c>
      <c r="AE44" s="38">
        <f>IFERROR(up_RadSpec!$F$15*AE15,".")*$B$44</f>
        <v>0</v>
      </c>
      <c r="AF44" s="38">
        <f>IFERROR(up_RadSpec!$M$15*AF15,".")*$B$44</f>
        <v>0</v>
      </c>
      <c r="AG44" s="38">
        <f>IFERROR(up_RadSpec!$N$15*AG15,".")*$B$44</f>
        <v>0</v>
      </c>
      <c r="AH44" s="38">
        <f>IFERROR(up_RadSpec!$O$15*AH15,".")*$B$44</f>
        <v>0</v>
      </c>
      <c r="AI44" s="38">
        <f>IFERROR(up_RadSpec!$K$15*AI15,".")*$B$44</f>
        <v>0</v>
      </c>
      <c r="AJ44" s="47">
        <f t="shared" si="27"/>
        <v>0</v>
      </c>
      <c r="AK44" s="47">
        <f t="shared" si="20"/>
        <v>0</v>
      </c>
      <c r="AL44" s="47">
        <f t="shared" si="20"/>
        <v>0</v>
      </c>
      <c r="AM44" s="47">
        <f t="shared" si="20"/>
        <v>0</v>
      </c>
      <c r="AN44" s="47">
        <f t="shared" si="20"/>
        <v>0</v>
      </c>
      <c r="AO44" s="30">
        <f t="shared" ref="AO44:AQ44" si="53">IFERROR(AO15/$B44,0)</f>
        <v>4.2671787281140403E-9</v>
      </c>
      <c r="AP44" s="30">
        <f t="shared" si="53"/>
        <v>9.3451214145697482E-5</v>
      </c>
      <c r="AQ44" s="30">
        <f t="shared" si="53"/>
        <v>4.2669838886670698E-9</v>
      </c>
      <c r="AR44" s="38">
        <f>IFERROR(up_RadSpec!$G$15*AR15,".")*$B$44</f>
        <v>11717.34375</v>
      </c>
      <c r="AS44" s="38">
        <f>IFERROR(up_RadSpec!$J$15*AS15,".")*$B$44</f>
        <v>0.53503852739726043</v>
      </c>
      <c r="AT44" s="47">
        <f t="shared" si="29"/>
        <v>1</v>
      </c>
      <c r="AU44" s="47">
        <f t="shared" si="29"/>
        <v>0.41435327373394426</v>
      </c>
      <c r="AV44" s="47">
        <f t="shared" si="30"/>
        <v>1</v>
      </c>
    </row>
    <row r="45" spans="1:48" x14ac:dyDescent="0.25">
      <c r="A45" s="26" t="s">
        <v>20</v>
      </c>
      <c r="B45" s="26" t="s">
        <v>289</v>
      </c>
      <c r="C45" s="110"/>
      <c r="D45" s="27">
        <f>IFERROR(IF(AND(D46&lt;&gt;0,D47&lt;&gt;0),1/SUM(1/D46,1/D47),IF(AND(D46&lt;&gt;0,D47=0),1/(1/D46),IF(AND(D46=0,D47&lt;&gt;0),1/(1/D47),IF(AND(D46=0,D47=0),".")))),".")</f>
        <v>5.4869966752229523E-7</v>
      </c>
      <c r="E45" s="27">
        <f t="shared" ref="E45:G45" si="54">IFERROR(IF(AND(E46&lt;&gt;0,E47&lt;&gt;0),1/SUM(1/E46,1/E47),IF(AND(E46&lt;&gt;0,E47=0),1/(1/E46),IF(AND(E46=0,E47&lt;&gt;0),1/(1/E47),IF(AND(E46=0,E47=0),".")))),".")</f>
        <v>1.1159935254601469E-6</v>
      </c>
      <c r="F45" s="27">
        <f t="shared" si="54"/>
        <v>3.4641534774011999E-4</v>
      </c>
      <c r="G45" s="28">
        <f t="shared" si="54"/>
        <v>3.6745254142299611E-7</v>
      </c>
      <c r="H45" s="45"/>
      <c r="I45" s="45"/>
      <c r="J45" s="45"/>
      <c r="K45" s="46">
        <f>IFERROR(IF(SUM(H46:H47)&gt;0.01,1-EXP(-SUM(H46:H47)),SUM(H46:H47)),".")</f>
        <v>1</v>
      </c>
      <c r="L45" s="46">
        <f>IFERROR(IF(SUM(I46:I47)&gt;0.01,1-EXP(-SUM(I46:I47)),SUM(I46:I47)),".")</f>
        <v>1</v>
      </c>
      <c r="M45" s="46">
        <f>IFERROR(IF(SUM(J46:J47)&gt;0.01,1-EXP(-SUM(J46:J47)),SUM(J46:J47)),".")</f>
        <v>0.13440262753536758</v>
      </c>
      <c r="N45" s="46">
        <f>IFERROR(IF(SUM(H46:J47)&gt;0.01,1-EXP(-SUM(H46:J47)),SUM(H46:J47)),".")</f>
        <v>1</v>
      </c>
      <c r="O45" s="27">
        <f>IFERROR(IF(AND(O46&lt;&gt;0,O47&lt;&gt;0),1/SUM(1/O46,1/O47),IF(AND(O46&lt;&gt;0,O47=0),1/(1/O46),IF(AND(O46=0,O47&lt;&gt;0),1/(1/O47),IF(AND(O46=0,O47=0),".")))),".")</f>
        <v>5.4869966752229523E-7</v>
      </c>
      <c r="P45" s="27">
        <f t="shared" ref="P45:R45" si="55">IFERROR(IF(AND(P46&lt;&gt;0,P47&lt;&gt;0),1/SUM(1/P46,1/P47),IF(AND(P46&lt;&gt;0,P47=0),1/(1/P46),IF(AND(P46=0,P47&lt;&gt;0),1/(1/P47),IF(AND(P46=0,P47=0),".")))),".")</f>
        <v>7.0189260417045812E-6</v>
      </c>
      <c r="Q45" s="27">
        <f t="shared" si="55"/>
        <v>3.4641534774011999E-4</v>
      </c>
      <c r="R45" s="28">
        <f t="shared" si="55"/>
        <v>5.081690017475798E-7</v>
      </c>
      <c r="S45" s="45"/>
      <c r="T45" s="45"/>
      <c r="U45" s="45"/>
      <c r="V45" s="46">
        <f>IFERROR(IF(SUM(S46:S47)&gt;0.01,1-EXP(-SUM(S46:S47)),SUM(S46:S47)),".")</f>
        <v>1</v>
      </c>
      <c r="W45" s="46">
        <f>IFERROR(IF(SUM(T46:T47)&gt;0.01,1-EXP(-SUM(T46:T47)),SUM(T46:T47)),".")</f>
        <v>0.99919413710036276</v>
      </c>
      <c r="X45" s="46">
        <f>IFERROR(IF(SUM(U46:U47)&gt;0.01,1-EXP(-SUM(U46:U47)),SUM(U46:U47)),".")</f>
        <v>0.13440262753536758</v>
      </c>
      <c r="Y45" s="46">
        <f>IFERROR(IF(SUM(S46:U47)&gt;0.01,1-EXP(-SUM(S46:U47)),SUM(S46:U47)),".")</f>
        <v>1</v>
      </c>
      <c r="Z45" s="27">
        <f t="shared" ref="Z45:AD45" si="56">IFERROR(IF(AND(Z46&lt;&gt;0,Z47&lt;&gt;0),1/SUM(1/Z46,1/Z47),IF(AND(Z46&lt;&gt;0,Z47=0),1/(1/Z46),IF(AND(Z46=0,Z47&lt;&gt;0),1/(1/Z47),IF(AND(Z46=0,Z47=0),".")))),".")</f>
        <v>3.4641534774011999E-4</v>
      </c>
      <c r="AA45" s="27">
        <f t="shared" si="56"/>
        <v>5.9113082677451532E-4</v>
      </c>
      <c r="AB45" s="27">
        <f t="shared" si="56"/>
        <v>4.2001322273272599E-4</v>
      </c>
      <c r="AC45" s="27">
        <f t="shared" si="56"/>
        <v>3.6545066097107444E-4</v>
      </c>
      <c r="AD45" s="27">
        <f t="shared" si="56"/>
        <v>9.9336293782325137E-4</v>
      </c>
      <c r="AE45" s="45"/>
      <c r="AF45" s="45"/>
      <c r="AG45" s="45"/>
      <c r="AH45" s="45"/>
      <c r="AI45" s="45"/>
      <c r="AJ45" s="46">
        <f>IFERROR(IF(SUM(AE46:AE47)&gt;0.01,1-EXP(-SUM(AE46:AE47)),SUM(AE46:AE47)),".")</f>
        <v>0.13440262753536758</v>
      </c>
      <c r="AK45" s="46">
        <f t="shared" ref="AK45:AN45" si="57">IFERROR(IF(SUM(AF46:AF47)&gt;0.01,1-EXP(-SUM(AF46:AF47)),SUM(AF46:AF47)),".")</f>
        <v>8.1105208791882988E-2</v>
      </c>
      <c r="AL45" s="46">
        <f t="shared" si="57"/>
        <v>0.11223114759991137</v>
      </c>
      <c r="AM45" s="46">
        <f t="shared" si="57"/>
        <v>0.12787051546265293</v>
      </c>
      <c r="AN45" s="46">
        <f t="shared" si="57"/>
        <v>4.9088299976269956E-2</v>
      </c>
      <c r="AO45" s="27">
        <f t="shared" ref="AO45:AQ45" si="58">IFERROR(IF(AND(AO46&lt;&gt;0,AO47&lt;&gt;0),1/SUM(1/AO46,1/AO47),IF(AND(AO46&lt;&gt;0,AO47=0),1/(1/AO46),IF(AND(AO46=0,AO47&lt;&gt;0),1/(1/AO47),IF(AND(AO46=0,AO47=0),".")))),".")</f>
        <v>2.1947986700891808E-9</v>
      </c>
      <c r="AP45" s="27">
        <f t="shared" si="58"/>
        <v>4.806609087495306E-5</v>
      </c>
      <c r="AQ45" s="28">
        <f t="shared" si="58"/>
        <v>2.1946984555478315E-9</v>
      </c>
      <c r="AR45" s="45"/>
      <c r="AS45" s="45"/>
      <c r="AT45" s="46">
        <f>IFERROR(IF(SUM(AR46:AR47)&gt;0.01,1-EXP(-SUM(AR46:AR47)),SUM(AR46:AR47)),".")</f>
        <v>1</v>
      </c>
      <c r="AU45" s="46">
        <f>IFERROR(IF(SUM(AS46:AS47)&gt;0.01,1-EXP(-SUM(AS46:AS47)),SUM(AS46:AS47)),".")</f>
        <v>0.64662814927513956</v>
      </c>
      <c r="AV45" s="46">
        <f>IFERROR(IF(SUM(AR46:AS47)&gt;0.01,1-EXP(-SUM(AR46:AS47)),SUM(AR46:AS47)),".")</f>
        <v>1</v>
      </c>
    </row>
    <row r="46" spans="1:48" x14ac:dyDescent="0.25">
      <c r="A46" s="29" t="s">
        <v>303</v>
      </c>
      <c r="B46" s="24">
        <v>1</v>
      </c>
      <c r="C46" s="2"/>
      <c r="D46" s="30">
        <f>IFERROR(D10/$B46,0)</f>
        <v>1.0666666666666667E-6</v>
      </c>
      <c r="E46" s="30">
        <f>IFERROR(E10/$B46,0)</f>
        <v>2.1694802535592709E-6</v>
      </c>
      <c r="F46" s="30">
        <f>IFERROR(F10/$B46,0)</f>
        <v>7.2972190476190473E-4</v>
      </c>
      <c r="G46" s="30">
        <f t="shared" si="32"/>
        <v>7.1438252335574898E-7</v>
      </c>
      <c r="H46" s="38">
        <f>IFERROR(up_RadSpec!$I$10*H10,".")*$B$46</f>
        <v>46.875</v>
      </c>
      <c r="I46" s="38">
        <f>IFERROR(up_RadSpec!$G$10*I10,".")*$B$46</f>
        <v>23.046994743542612</v>
      </c>
      <c r="J46" s="38">
        <f>IFERROR(up_RadSpec!$F$10*J10,".")*$B$46</f>
        <v>6.8519253257601082E-2</v>
      </c>
      <c r="K46" s="47">
        <f t="shared" ref="K46:M47" si="59">IFERROR(IF(H46&gt;0.01,1-EXP(-H46),H46),".")</f>
        <v>1</v>
      </c>
      <c r="L46" s="47">
        <f t="shared" si="59"/>
        <v>0.99999999990209221</v>
      </c>
      <c r="M46" s="47">
        <f t="shared" si="59"/>
        <v>6.6224518289438872E-2</v>
      </c>
      <c r="N46" s="47">
        <f t="shared" ref="N46:N47" si="60">IFERROR(IF(SUM(H46:J46)&gt;0.01,1-EXP(-SUM(H46:J46)),SUM(H46:J46)),".")</f>
        <v>1</v>
      </c>
      <c r="O46" s="30">
        <f>IFERROR(O10/$B46,0)</f>
        <v>1.0666666666666667E-6</v>
      </c>
      <c r="P46" s="30">
        <f>IFERROR(P10/$B46,0)</f>
        <v>1.3644722035813288E-5</v>
      </c>
      <c r="Q46" s="30">
        <f>IFERROR(Q10/$B46,0)</f>
        <v>7.2972190476190473E-4</v>
      </c>
      <c r="R46" s="30">
        <f t="shared" ref="R46:R47" si="61">IF(AND(O46&lt;&gt;0,P46&lt;&gt;0,Q46&lt;&gt;0),1/((1/O46)+(1/P46)+(1/Q46)),IF(AND(O46&lt;&gt;0,P46&lt;&gt;0,Q46=0), 1/((1/O46)+(1/P46)),IF(AND(O46&lt;&gt;0,P46=0,Q46&lt;&gt;0),1/((1/O46)+(1/Q46)),IF(AND(O46=0,P46&lt;&gt;0,Q46&lt;&gt;0),1/((1/P46)+(1/Q46)),IF(AND(O46&lt;&gt;0,P46=0,Q46=0),1/((1/O46)),IF(AND(O46=0,P46&lt;&gt;0,Q46=0),1/((1/P46)),IF(AND(O46=0,P46=0,Q46&lt;&gt;0),1/((1/Q46)),IF(AND(O46=0,P46=0,Q46=0),0))))))))</f>
        <v>9.879872640905282E-7</v>
      </c>
      <c r="S46" s="38">
        <f>IFERROR(up_RadSpec!$I$10*S10,".")*$B$46</f>
        <v>46.875</v>
      </c>
      <c r="T46" s="38">
        <f>IFERROR(up_RadSpec!$G$10*T10,".")*$B$46</f>
        <v>3.664420562673615</v>
      </c>
      <c r="U46" s="38">
        <f>IFERROR(up_RadSpec!$F$10*U10,".")*$B$46</f>
        <v>6.8519253257601082E-2</v>
      </c>
      <c r="V46" s="47">
        <f t="shared" ref="V46:X47" si="62">IFERROR(IF(S46&gt;0.01,1-EXP(-S46),S46),".")</f>
        <v>1</v>
      </c>
      <c r="W46" s="47">
        <f t="shared" si="62"/>
        <v>0.97438098840463438</v>
      </c>
      <c r="X46" s="47">
        <f t="shared" si="62"/>
        <v>6.6224518289438872E-2</v>
      </c>
      <c r="Y46" s="47">
        <f t="shared" ref="Y46:Y47" si="63">IFERROR(IF(SUM(S46:U46)&gt;0.01,1-EXP(-SUM(S46:U46)),SUM(S46:U46)),".")</f>
        <v>1</v>
      </c>
      <c r="Z46" s="30">
        <f t="shared" ref="Z46:AD46" si="64">IFERROR(Z10/$B46,0)</f>
        <v>7.2972190476190473E-4</v>
      </c>
      <c r="AA46" s="30">
        <f t="shared" si="64"/>
        <v>1.1371005291005286E-3</v>
      </c>
      <c r="AB46" s="30">
        <f t="shared" si="64"/>
        <v>8.1203855944581254E-4</v>
      </c>
      <c r="AC46" s="30">
        <f t="shared" si="64"/>
        <v>7.4270414993306559E-4</v>
      </c>
      <c r="AD46" s="30">
        <f t="shared" si="64"/>
        <v>1.9115609850688386E-3</v>
      </c>
      <c r="AE46" s="38">
        <f>IFERROR(up_RadSpec!$F$10*AE10,".")*$B46</f>
        <v>6.8519253257601082E-2</v>
      </c>
      <c r="AF46" s="38">
        <f>IFERROR(up_RadSpec!$M$10*AF10,".")*$B46</f>
        <v>4.3971486003573576E-2</v>
      </c>
      <c r="AG46" s="38">
        <f>IFERROR(up_RadSpec!$N$10*AG10,".")*$B46</f>
        <v>6.1573430742159867E-2</v>
      </c>
      <c r="AH46" s="38">
        <f>IFERROR(up_RadSpec!$O$10*AH10,".")*$B46</f>
        <v>6.7321557317952432E-2</v>
      </c>
      <c r="AI46" s="38">
        <f>IFERROR(up_RadSpec!$K$10*AI10,".")*$B46</f>
        <v>2.6156633448029605E-2</v>
      </c>
      <c r="AJ46" s="47">
        <f t="shared" ref="AJ46:AN47" si="65">IFERROR(IF(AE46&gt;0.01,1-EXP(-AE46),AE46),".")</f>
        <v>6.6224518289438872E-2</v>
      </c>
      <c r="AK46" s="47">
        <f t="shared" si="65"/>
        <v>4.3018755556201271E-2</v>
      </c>
      <c r="AL46" s="47">
        <f t="shared" si="65"/>
        <v>5.9716102540104954E-2</v>
      </c>
      <c r="AM46" s="47">
        <f t="shared" si="65"/>
        <v>6.5105469179934095E-2</v>
      </c>
      <c r="AN46" s="47">
        <f t="shared" si="65"/>
        <v>2.5817511904309698E-2</v>
      </c>
      <c r="AO46" s="30">
        <f t="shared" ref="AO46:AQ46" si="66">IFERROR(AO10/$B46,0)</f>
        <v>4.2666666666666668E-9</v>
      </c>
      <c r="AP46" s="30">
        <f t="shared" si="66"/>
        <v>9.344E-5</v>
      </c>
      <c r="AQ46" s="30">
        <f t="shared" si="66"/>
        <v>4.2664718506004295E-9</v>
      </c>
      <c r="AR46" s="38">
        <f>IFERROR(up_RadSpec!$G$10*AR10,".")*$B$46</f>
        <v>11718.75</v>
      </c>
      <c r="AS46" s="38">
        <f>IFERROR(up_RadSpec!$J$10*AS10,".")*$B$46</f>
        <v>0.53510273972602751</v>
      </c>
      <c r="AT46" s="47">
        <f>IFERROR(IF(AR46&gt;0.01,1-EXP(-AR46),AR46),".")</f>
        <v>1</v>
      </c>
      <c r="AU46" s="47">
        <f>IFERROR(IF(AS46&gt;0.01,1-EXP(-AS46),AS46),".")</f>
        <v>0.41439087826672238</v>
      </c>
      <c r="AV46" s="47">
        <f>IFERROR(IF(SUM(AR46:AS46)&gt;0.01,1-EXP(-SUM(AR46:AS46)),SUM(AR46:AS46)),".")</f>
        <v>1</v>
      </c>
    </row>
    <row r="47" spans="1:48" x14ac:dyDescent="0.25">
      <c r="A47" s="29" t="s">
        <v>304</v>
      </c>
      <c r="B47" s="32">
        <v>0.94399</v>
      </c>
      <c r="C47" s="2"/>
      <c r="D47" s="30">
        <f>IFERROR(D6/$B$47,0)</f>
        <v>1.1299554726921543E-6</v>
      </c>
      <c r="E47" s="30">
        <f>IFERROR(E6/$B$47,0)</f>
        <v>2.2982025800689319E-6</v>
      </c>
      <c r="F47" s="30">
        <f>IFERROR(F6/$B$47,0)</f>
        <v>6.5949006809531605E-4</v>
      </c>
      <c r="G47" s="30">
        <f t="shared" si="32"/>
        <v>7.5664164939807582E-7</v>
      </c>
      <c r="H47" s="38">
        <f>IFERROR(up_RadSpec!$I$6*H6,".")*$B$47</f>
        <v>44.249531249999997</v>
      </c>
      <c r="I47" s="38">
        <f>IFERROR(up_RadSpec!$G$6*I6,".")*$B$47</f>
        <v>21.75613256795679</v>
      </c>
      <c r="J47" s="38">
        <f>IFERROR(up_RadSpec!$F$6*J6,".")*$B$47</f>
        <v>7.5816153144513343E-2</v>
      </c>
      <c r="K47" s="47">
        <f t="shared" si="59"/>
        <v>1</v>
      </c>
      <c r="L47" s="47">
        <f t="shared" si="59"/>
        <v>0.99999999964401498</v>
      </c>
      <c r="M47" s="47">
        <f t="shared" si="59"/>
        <v>7.3013385531428554E-2</v>
      </c>
      <c r="N47" s="47">
        <f t="shared" si="60"/>
        <v>1</v>
      </c>
      <c r="O47" s="30">
        <f>IFERROR(O6/$B$47,0)</f>
        <v>1.1299554726921543E-6</v>
      </c>
      <c r="P47" s="30">
        <f>IFERROR(P6/$B$47,0)</f>
        <v>1.4454307816622303E-5</v>
      </c>
      <c r="Q47" s="30">
        <f>IFERROR(Q6/$B$47,0)</f>
        <v>6.5949006809531605E-4</v>
      </c>
      <c r="R47" s="30">
        <f t="shared" si="61"/>
        <v>1.0463638863611186E-6</v>
      </c>
      <c r="S47" s="38">
        <f>IFERROR(up_RadSpec!$I$6*S6,".")*$B$47</f>
        <v>44.249531249999997</v>
      </c>
      <c r="T47" s="38">
        <f>IFERROR(up_RadSpec!$G$6*T6,".")*$B$47</f>
        <v>3.4591763669582658</v>
      </c>
      <c r="U47" s="38">
        <f>IFERROR(up_RadSpec!$F$6*U6,".")*$B$47</f>
        <v>7.5816153144513343E-2</v>
      </c>
      <c r="V47" s="47">
        <f t="shared" si="62"/>
        <v>1</v>
      </c>
      <c r="W47" s="47">
        <f t="shared" si="62"/>
        <v>0.96854434072768714</v>
      </c>
      <c r="X47" s="47">
        <f t="shared" si="62"/>
        <v>7.3013385531428554E-2</v>
      </c>
      <c r="Y47" s="47">
        <f t="shared" si="63"/>
        <v>1</v>
      </c>
      <c r="Z47" s="30">
        <f t="shared" ref="Z47:AD47" si="67">IFERROR(Z6/$B$47,0)</f>
        <v>6.5949006809531605E-4</v>
      </c>
      <c r="AA47" s="30">
        <f t="shared" si="67"/>
        <v>1.231158383018771E-3</v>
      </c>
      <c r="AB47" s="30">
        <f t="shared" si="67"/>
        <v>8.7001247214206023E-4</v>
      </c>
      <c r="AC47" s="30">
        <f t="shared" si="67"/>
        <v>7.1946775958470969E-4</v>
      </c>
      <c r="AD47" s="30">
        <f t="shared" si="67"/>
        <v>2.0680438622719096E-3</v>
      </c>
      <c r="AE47" s="38">
        <f>IFERROR(up_RadSpec!$F$6*AE6,".")*$B47</f>
        <v>7.5816153144513343E-2</v>
      </c>
      <c r="AF47" s="38">
        <f>IFERROR(up_RadSpec!$M$6*AF6,".")*$B47</f>
        <v>4.0612158995661625E-2</v>
      </c>
      <c r="AG47" s="38">
        <f>IFERROR(up_RadSpec!$N$6*AG6,".")*$B47</f>
        <v>5.7470440483335675E-2</v>
      </c>
      <c r="AH47" s="38">
        <f>IFERROR(up_RadSpec!$O$6*AH6,".")*$B47</f>
        <v>6.9495817337056134E-2</v>
      </c>
      <c r="AI47" s="38">
        <f>IFERROR(up_RadSpec!$K$6*AI6,".")*$B47</f>
        <v>2.4177436906522409E-2</v>
      </c>
      <c r="AJ47" s="47">
        <f t="shared" si="65"/>
        <v>7.3013385531428554E-2</v>
      </c>
      <c r="AK47" s="47">
        <f t="shared" si="65"/>
        <v>3.9798536760057179E-2</v>
      </c>
      <c r="AL47" s="47">
        <f t="shared" si="65"/>
        <v>5.5850201414351375E-2</v>
      </c>
      <c r="AM47" s="47">
        <f t="shared" si="65"/>
        <v>6.7135964767772283E-2</v>
      </c>
      <c r="AN47" s="47">
        <f t="shared" si="65"/>
        <v>2.388750399060191E-2</v>
      </c>
      <c r="AO47" s="30">
        <f t="shared" ref="AO47:AQ47" si="68">IFERROR(AO6/$B$47,0)</f>
        <v>4.5198218907686168E-9</v>
      </c>
      <c r="AP47" s="30">
        <f t="shared" si="68"/>
        <v>9.8984099407832714E-5</v>
      </c>
      <c r="AQ47" s="30">
        <f t="shared" si="68"/>
        <v>4.5196155156309168E-9</v>
      </c>
      <c r="AR47" s="38">
        <f>IFERROR(up_RadSpec!$G$6*AR6,".")*$B$47</f>
        <v>11062.3828125</v>
      </c>
      <c r="AS47" s="38">
        <f>IFERROR(up_RadSpec!$J$6*AS6,".")*$B$47</f>
        <v>0.50513163527397276</v>
      </c>
      <c r="AT47" s="47">
        <f>IFERROR(IF(AR47&gt;0.01,1-EXP(-AR47),AR47),".")</f>
        <v>1</v>
      </c>
      <c r="AU47" s="47">
        <f>IFERROR(IF(AS47&gt;0.01,1-EXP(-AS47),AS47),".")</f>
        <v>0.39657386196622868</v>
      </c>
      <c r="AV47" s="47">
        <f>IFERROR(IF(SUM(AR47:AS47)&gt;0.01,1-EXP(-SUM(AR47:AS47)),SUM(AR47:AS47)),".")</f>
        <v>1</v>
      </c>
    </row>
    <row r="48" spans="1:48" x14ac:dyDescent="0.25">
      <c r="A48" s="26" t="s">
        <v>33</v>
      </c>
      <c r="B48" s="26" t="s">
        <v>289</v>
      </c>
      <c r="C48" s="112"/>
      <c r="D48" s="27">
        <f>1/SUM(1/D49,1/D50,1/D51,1/D52,1/D53,1/D54,1/D55,1/D56,1/D57,1/D58,1/D59,1/D60,1/D61,1/D62)</f>
        <v>1.1851850063539364E-7</v>
      </c>
      <c r="E48" s="27">
        <f t="shared" ref="E48:G48" si="69">1/SUM(1/E49,1/E50,1/E51,1/E52,1/E53,1/E54,1/E55,1/E56,1/E57,1/E58,1/E59,1/E60,1/E61,1/E62)</f>
        <v>2.4105332513431724E-7</v>
      </c>
      <c r="F48" s="27">
        <f>1/SUM(1/F49,1/F50,1/F52,1/F54,1/F55,1/F56,1/F57,1/F58,1/F59,1/F60,1/F61,1/F62)</f>
        <v>8.760488477779508E-5</v>
      </c>
      <c r="G48" s="28">
        <f t="shared" si="69"/>
        <v>7.9381623698808691E-8</v>
      </c>
      <c r="H48" s="45"/>
      <c r="I48" s="45"/>
      <c r="J48" s="45"/>
      <c r="K48" s="46">
        <f>IFERROR(IF(SUM(H49:H62)&gt;0.01,1-EXP(-SUM(H49:H62)),SUM(H49:H62)),".")</f>
        <v>1</v>
      </c>
      <c r="L48" s="46">
        <f>IFERROR(IF(SUM(I49:I62)&gt;0.01,1-EXP(-SUM(I49:I62)),SUM(I49:I62)),".")</f>
        <v>1</v>
      </c>
      <c r="M48" s="46">
        <f>IFERROR(IF(SUM(J49:J62)&gt;0.01,1-EXP(-SUM(J49:J62)),SUM(J49:J62)),".")</f>
        <v>0.43489539856255099</v>
      </c>
      <c r="N48" s="46">
        <f>IFERROR(IF(SUM(H49:J62)&gt;0.01,1-EXP(-SUM(H49:J62)),SUM(H49:J62)),".")</f>
        <v>1</v>
      </c>
      <c r="O48" s="27">
        <f>1/SUM(1/O49,1/O50,1/O51,1/O52,1/O53,1/O54,1/O55,1/O56,1/O57,1/O58,1/O59,1/O60,1/O61,1/O62)</f>
        <v>1.1851850063539364E-7</v>
      </c>
      <c r="P48" s="27">
        <f t="shared" ref="P48" si="70">1/SUM(1/P49,1/P50,1/P51,1/P52,1/P53,1/P54,1/P55,1/P56,1/P57,1/P58,1/P59,1/P60,1/P61,1/P62)</f>
        <v>1.51607999744185E-6</v>
      </c>
      <c r="Q48" s="27">
        <f>1/SUM(1/Q49,1/Q50,1/Q52,1/Q54,1/Q55,1/Q56,1/Q57,1/Q58,1/Q59,1/Q60,1/Q61,1/Q62)</f>
        <v>8.760488477779508E-5</v>
      </c>
      <c r="R48" s="28">
        <f t="shared" ref="R48" si="71">1/SUM(1/R49,1/R50,1/R51,1/R52,1/R53,1/R54,1/R55,1/R56,1/R57,1/R58,1/R59,1/R60,1/R61,1/R62)</f>
        <v>1.0978743319528019E-7</v>
      </c>
      <c r="S48" s="45"/>
      <c r="T48" s="45"/>
      <c r="U48" s="45"/>
      <c r="V48" s="46">
        <f>IFERROR(IF(SUM(S49:S62)&gt;0.01,1-EXP(-SUM(S49:S62)),SUM(S49:S62)),".")</f>
        <v>1</v>
      </c>
      <c r="W48" s="46">
        <f>IFERROR(IF(SUM(T49:T62)&gt;0.01,1-EXP(-SUM(T49:T62)),SUM(T49:T62)),".")</f>
        <v>0.99999999999999523</v>
      </c>
      <c r="X48" s="46">
        <f>IFERROR(IF(SUM(U49:U62)&gt;0.01,1-EXP(-SUM(U49:U62)),SUM(U49:U62)),".")</f>
        <v>0.43489539856255099</v>
      </c>
      <c r="Y48" s="46">
        <f>IFERROR(IF(SUM(S49:U62)&gt;0.01,1-EXP(-SUM(S49:U62)),SUM(S49:U62)),".")</f>
        <v>1</v>
      </c>
      <c r="Z48" s="27">
        <f t="shared" ref="Z48:AD48" si="72">1/SUM(1/Z49,1/Z50,1/Z52,1/Z54,1/Z55,1/Z56,1/Z57,1/Z58,1/Z59,1/Z60,1/Z61,1/Z62)</f>
        <v>8.760488477779508E-5</v>
      </c>
      <c r="AA48" s="27">
        <f t="shared" si="72"/>
        <v>1.6491081725269446E-4</v>
      </c>
      <c r="AB48" s="27">
        <f t="shared" si="72"/>
        <v>1.1728715330277478E-4</v>
      </c>
      <c r="AC48" s="27">
        <f t="shared" si="72"/>
        <v>9.924842620866116E-5</v>
      </c>
      <c r="AD48" s="27">
        <f t="shared" si="72"/>
        <v>2.8364244370149099E-4</v>
      </c>
      <c r="AE48" s="45"/>
      <c r="AF48" s="45"/>
      <c r="AG48" s="45"/>
      <c r="AH48" s="45"/>
      <c r="AI48" s="45"/>
      <c r="AJ48" s="46">
        <f>IFERROR(IF(SUM(AE49:AE62)&gt;0.01,1-EXP(-SUM(AE49:AE62)),SUM(AE49:AE62)),".")</f>
        <v>0.43489539856255099</v>
      </c>
      <c r="AK48" s="46">
        <f t="shared" ref="AK48:AN48" si="73">IFERROR(IF(SUM(AF49:AF62)&gt;0.01,1-EXP(-SUM(AF49:AF62)),SUM(AF49:AF62)),".")</f>
        <v>0.26154431083314011</v>
      </c>
      <c r="AL48" s="46">
        <f t="shared" si="73"/>
        <v>0.34708227192521934</v>
      </c>
      <c r="AM48" s="46">
        <f t="shared" si="73"/>
        <v>0.39576152087835281</v>
      </c>
      <c r="AN48" s="46">
        <f t="shared" si="73"/>
        <v>0.16161534856840187</v>
      </c>
      <c r="AO48" s="27">
        <f t="shared" ref="AO48:AQ48" si="74">1/SUM(1/AO49,1/AO50,1/AO51,1/AO52,1/AO53,1/AO54,1/AO55,1/AO56,1/AO57,1/AO58,1/AO59,1/AO60,1/AO61,1/AO62)</f>
        <v>4.7407400254157461E-10</v>
      </c>
      <c r="AP48" s="27">
        <f t="shared" si="74"/>
        <v>1.0382220655660483E-5</v>
      </c>
      <c r="AQ48" s="28">
        <f t="shared" si="74"/>
        <v>4.7405235631525882E-10</v>
      </c>
      <c r="AR48" s="45"/>
      <c r="AS48" s="45"/>
      <c r="AT48" s="46">
        <f>IFERROR(IF(SUM(AR49:AR62)&gt;0.01,1-EXP(-SUM(AR49:AR62)),SUM(AR49:AR62)),".")</f>
        <v>1</v>
      </c>
      <c r="AU48" s="46">
        <f>IFERROR(IF(SUM(AS49:AS62)&gt;0.01,1-EXP(-SUM(AS49:AS62)),SUM(AS49:AS62)),".")</f>
        <v>0.99190027674716241</v>
      </c>
      <c r="AV48" s="46">
        <f>IFERROR(IF(SUM(AR49:AS62)&gt;0.01,1-EXP(-SUM(AR49:AS62)),SUM(AR49:AS62)),".")</f>
        <v>1</v>
      </c>
    </row>
    <row r="49" spans="1:48" x14ac:dyDescent="0.25">
      <c r="A49" s="29" t="s">
        <v>305</v>
      </c>
      <c r="B49" s="24">
        <v>1</v>
      </c>
      <c r="C49" s="109"/>
      <c r="D49" s="30">
        <f>IFERROR(D23/$B49,0)</f>
        <v>1.0666666666666667E-6</v>
      </c>
      <c r="E49" s="30">
        <f>IFERROR(E23/$B49,0)</f>
        <v>2.1694802535592709E-6</v>
      </c>
      <c r="F49" s="30">
        <f>IFERROR(F23/$B49,0)</f>
        <v>5.1339087848178749E-4</v>
      </c>
      <c r="G49" s="30">
        <f t="shared" si="32"/>
        <v>7.1408794841138387E-7</v>
      </c>
      <c r="H49" s="38">
        <f>IFERROR(up_RadSpec!$I$23*H23,".")*$B$49</f>
        <v>46.875</v>
      </c>
      <c r="I49" s="38">
        <f>IFERROR(up_RadSpec!$G$23*I23,".")*$B$49</f>
        <v>23.046994743542612</v>
      </c>
      <c r="J49" s="38">
        <f>IFERROR(up_RadSpec!$F$23*J23,".")*$B$49</f>
        <v>9.739167970389595E-2</v>
      </c>
      <c r="K49" s="47">
        <f t="shared" ref="K49:M62" si="75">IFERROR(IF(H49&gt;0.01,1-EXP(-H49),H49),".")</f>
        <v>1</v>
      </c>
      <c r="L49" s="47">
        <f t="shared" si="75"/>
        <v>0.99999999990209221</v>
      </c>
      <c r="M49" s="47">
        <f t="shared" si="75"/>
        <v>9.2799395528126216E-2</v>
      </c>
      <c r="N49" s="47">
        <f t="shared" ref="N49:N62" si="76">IFERROR(IF(SUM(H49:J49)&gt;0.01,1-EXP(-SUM(H49:J49)),SUM(H49:J49)),".")</f>
        <v>1</v>
      </c>
      <c r="O49" s="30">
        <f>IFERROR(O23/$B49,0)</f>
        <v>1.0666666666666667E-6</v>
      </c>
      <c r="P49" s="30">
        <f>IFERROR(P23/$B49,0)</f>
        <v>1.3644722035813288E-5</v>
      </c>
      <c r="Q49" s="30">
        <f>IFERROR(Q23/$B49,0)</f>
        <v>5.1339087848178749E-4</v>
      </c>
      <c r="R49" s="30">
        <f t="shared" ref="R49:R61" si="77">IF(AND(O49&lt;&gt;0,P49&lt;&gt;0,Q49&lt;&gt;0),1/((1/O49)+(1/P49)+(1/Q49)),IF(AND(O49&lt;&gt;0,P49&lt;&gt;0,Q49=0), 1/((1/O49)+(1/P49)),IF(AND(O49&lt;&gt;0,P49=0,Q49&lt;&gt;0),1/((1/O49)+(1/Q49)),IF(AND(O49=0,P49&lt;&gt;0,Q49&lt;&gt;0),1/((1/P49)+(1/Q49)),IF(AND(O49&lt;&gt;0,P49=0,Q49=0),1/((1/O49)),IF(AND(O49=0,P49&lt;&gt;0,Q49=0),1/((1/P49)),IF(AND(O49=0,P49=0,Q49&lt;&gt;0),1/((1/Q49)),IF(AND(O49=0,P49=0,Q49=0),0))))))))</f>
        <v>9.8742392709617354E-7</v>
      </c>
      <c r="S49" s="38">
        <f>IFERROR(up_RadSpec!$I$23*S23,".")*$B$49</f>
        <v>46.875</v>
      </c>
      <c r="T49" s="38">
        <f>IFERROR(up_RadSpec!$G$23*T23,".")*$B$49</f>
        <v>3.664420562673615</v>
      </c>
      <c r="U49" s="38">
        <f>IFERROR(up_RadSpec!$F$23*U23,".")*$B$49</f>
        <v>9.739167970389595E-2</v>
      </c>
      <c r="V49" s="47">
        <f t="shared" ref="V49:X62" si="78">IFERROR(IF(S49&gt;0.01,1-EXP(-S49),S49),".")</f>
        <v>1</v>
      </c>
      <c r="W49" s="47">
        <f t="shared" si="78"/>
        <v>0.97438098840463438</v>
      </c>
      <c r="X49" s="47">
        <f t="shared" si="78"/>
        <v>9.2799395528126216E-2</v>
      </c>
      <c r="Y49" s="47">
        <f t="shared" ref="Y49:Y62" si="79">IFERROR(IF(SUM(S49:U49)&gt;0.01,1-EXP(-SUM(S49:U49)),SUM(S49:U49)),".")</f>
        <v>1</v>
      </c>
      <c r="Z49" s="30">
        <f t="shared" ref="Z49:AD49" si="80">IFERROR(Z23/$B49,0)</f>
        <v>5.1339087848178749E-4</v>
      </c>
      <c r="AA49" s="30">
        <f t="shared" si="80"/>
        <v>9.1384542211652873E-4</v>
      </c>
      <c r="AB49" s="30">
        <f t="shared" si="80"/>
        <v>6.4620326152322303E-4</v>
      </c>
      <c r="AC49" s="30">
        <f t="shared" si="80"/>
        <v>5.2880879120879116E-4</v>
      </c>
      <c r="AD49" s="30">
        <f t="shared" si="80"/>
        <v>1.4385353675450761E-3</v>
      </c>
      <c r="AE49" s="38">
        <f>IFERROR(up_RadSpec!$F$23*AE23,".")*$B$49</f>
        <v>9.739167970389595E-2</v>
      </c>
      <c r="AF49" s="38">
        <f>IFERROR(up_RadSpec!$M$23*AF23,".")*$B$49</f>
        <v>5.4713848523962175E-2</v>
      </c>
      <c r="AG49" s="38">
        <f>IFERROR(up_RadSpec!$N$23*AG23,".")*$B$49</f>
        <v>7.7375035034859735E-2</v>
      </c>
      <c r="AH49" s="38">
        <f>IFERROR(up_RadSpec!$O$23*AH23,".")*$B$49</f>
        <v>9.4552134592366027E-2</v>
      </c>
      <c r="AI49" s="38">
        <f>IFERROR(up_RadSpec!$K$23*AI23,".")*$B$49</f>
        <v>3.4757574355177102E-2</v>
      </c>
      <c r="AJ49" s="47">
        <f t="shared" ref="AJ49:AN62" si="81">IFERROR(IF(AE49&gt;0.01,1-EXP(-AE49),AE49),".")</f>
        <v>9.2799395528126216E-2</v>
      </c>
      <c r="AK49" s="47">
        <f t="shared" si="81"/>
        <v>5.3243975170320756E-2</v>
      </c>
      <c r="AL49" s="47">
        <f t="shared" si="81"/>
        <v>7.4457322421372152E-2</v>
      </c>
      <c r="AM49" s="47">
        <f t="shared" si="81"/>
        <v>9.0219697635596452E-2</v>
      </c>
      <c r="AN49" s="47">
        <f t="shared" si="81"/>
        <v>3.4160467850051335E-2</v>
      </c>
      <c r="AO49" s="30">
        <f t="shared" ref="AO49:AQ49" si="82">IFERROR(AO23/$B49,0)</f>
        <v>4.2666666666666668E-9</v>
      </c>
      <c r="AP49" s="30">
        <f t="shared" si="82"/>
        <v>9.344E-5</v>
      </c>
      <c r="AQ49" s="30">
        <f t="shared" si="82"/>
        <v>4.2664718506004295E-9</v>
      </c>
      <c r="AR49" s="38">
        <f>IFERROR(up_RadSpec!$G$23*AR23,".")*$B$49</f>
        <v>11718.75</v>
      </c>
      <c r="AS49" s="38">
        <f>IFERROR(up_RadSpec!$J$23*AS23,".")*$B$49</f>
        <v>0.53510273972602751</v>
      </c>
      <c r="AT49" s="47">
        <f t="shared" ref="AT49:AU62" si="83">IFERROR(IF(AR49&gt;0.01,1-EXP(-AR49),AR49),".")</f>
        <v>1</v>
      </c>
      <c r="AU49" s="47">
        <f t="shared" si="83"/>
        <v>0.41439087826672238</v>
      </c>
      <c r="AV49" s="47">
        <f t="shared" ref="AV49:AV62" si="84">IFERROR(IF(SUM(AR49:AS49)&gt;0.01,1-EXP(-SUM(AR49:AS49)),SUM(AR49:AS49)),".")</f>
        <v>1</v>
      </c>
    </row>
    <row r="50" spans="1:48" x14ac:dyDescent="0.25">
      <c r="A50" s="29" t="s">
        <v>306</v>
      </c>
      <c r="B50" s="24">
        <v>1</v>
      </c>
      <c r="C50" s="109"/>
      <c r="D50" s="30">
        <f>IFERROR(D25/$B50,0)</f>
        <v>1.0666666666666667E-6</v>
      </c>
      <c r="E50" s="30">
        <f>IFERROR(E25/$B50,0)</f>
        <v>2.1694802535592709E-6</v>
      </c>
      <c r="F50" s="30">
        <f>IFERROR(F25/$B50,0)</f>
        <v>7.5052208835341377E-4</v>
      </c>
      <c r="G50" s="30">
        <f t="shared" si="32"/>
        <v>7.1440190629939155E-7</v>
      </c>
      <c r="H50" s="38">
        <f>IFERROR(up_RadSpec!$I$25*H25,".")*$B$50</f>
        <v>46.875</v>
      </c>
      <c r="I50" s="38">
        <f>IFERROR(up_RadSpec!$G$25*I25,".")*$B$50</f>
        <v>23.046994743542612</v>
      </c>
      <c r="J50" s="38">
        <f>IFERROR(up_RadSpec!$F$25*J25,".")*$B$50</f>
        <v>6.6620291095890405E-2</v>
      </c>
      <c r="K50" s="47">
        <f t="shared" si="75"/>
        <v>1</v>
      </c>
      <c r="L50" s="47">
        <f t="shared" si="75"/>
        <v>0.99999999990209221</v>
      </c>
      <c r="M50" s="47">
        <f t="shared" si="75"/>
        <v>6.4449629291976285E-2</v>
      </c>
      <c r="N50" s="47">
        <f t="shared" si="76"/>
        <v>1</v>
      </c>
      <c r="O50" s="30">
        <f>IFERROR(O25/$B50,0)</f>
        <v>1.0666666666666667E-6</v>
      </c>
      <c r="P50" s="30">
        <f>IFERROR(P25/$B50,0)</f>
        <v>1.3644722035813288E-5</v>
      </c>
      <c r="Q50" s="30">
        <f>IFERROR(Q25/$B50,0)</f>
        <v>7.5052208835341377E-4</v>
      </c>
      <c r="R50" s="30">
        <f t="shared" si="77"/>
        <v>9.8802433773626516E-7</v>
      </c>
      <c r="S50" s="38">
        <f>IFERROR(up_RadSpec!$I$25*S25,".")*$B$50</f>
        <v>46.875</v>
      </c>
      <c r="T50" s="38">
        <f>IFERROR(up_RadSpec!$G$25*T25,".")*$B$50</f>
        <v>3.664420562673615</v>
      </c>
      <c r="U50" s="38">
        <f>IFERROR(up_RadSpec!$F$25*U25,".")*$B$50</f>
        <v>6.6620291095890405E-2</v>
      </c>
      <c r="V50" s="47">
        <f t="shared" si="78"/>
        <v>1</v>
      </c>
      <c r="W50" s="47">
        <f t="shared" si="78"/>
        <v>0.97438098840463438</v>
      </c>
      <c r="X50" s="47">
        <f t="shared" si="78"/>
        <v>6.4449629291976285E-2</v>
      </c>
      <c r="Y50" s="47">
        <f t="shared" si="79"/>
        <v>1</v>
      </c>
      <c r="Z50" s="30">
        <f t="shared" ref="Z50:AD50" si="85">IFERROR(Z25/$B50,0)</f>
        <v>7.5052208835341377E-4</v>
      </c>
      <c r="AA50" s="30">
        <f t="shared" si="85"/>
        <v>1.3440293174530457E-3</v>
      </c>
      <c r="AB50" s="30">
        <f t="shared" si="85"/>
        <v>9.6407951598962858E-4</v>
      </c>
      <c r="AC50" s="30">
        <f t="shared" si="85"/>
        <v>8.6089873967840058E-4</v>
      </c>
      <c r="AD50" s="30">
        <f t="shared" si="85"/>
        <v>2.4096969696969697E-3</v>
      </c>
      <c r="AE50" s="38">
        <f>IFERROR(up_RadSpec!$F$25*AE25,".")*$B$50</f>
        <v>6.6620291095890405E-2</v>
      </c>
      <c r="AF50" s="38">
        <f>IFERROR(up_RadSpec!$M$25*AF25,".")*$B$50</f>
        <v>3.7201569452927338E-2</v>
      </c>
      <c r="AG50" s="38">
        <f>IFERROR(up_RadSpec!$N$25*AG25,".")*$B$50</f>
        <v>5.1862941978053502E-2</v>
      </c>
      <c r="AH50" s="38">
        <f>IFERROR(up_RadSpec!$O$25*AH25,".")*$B$50</f>
        <v>5.8078839816490056E-2</v>
      </c>
      <c r="AI50" s="38">
        <f>IFERROR(up_RadSpec!$K$25*AI25,".")*$B$50</f>
        <v>2.0749496981891352E-2</v>
      </c>
      <c r="AJ50" s="47">
        <f t="shared" si="81"/>
        <v>6.4449629291976285E-2</v>
      </c>
      <c r="AK50" s="47">
        <f t="shared" si="81"/>
        <v>3.6518092746464892E-2</v>
      </c>
      <c r="AL50" s="47">
        <f t="shared" si="81"/>
        <v>5.0541011103512279E-2</v>
      </c>
      <c r="AM50" s="47">
        <f t="shared" si="81"/>
        <v>5.6424446819234975E-2</v>
      </c>
      <c r="AN50" s="47">
        <f t="shared" si="81"/>
        <v>2.0535707398103176E-2</v>
      </c>
      <c r="AO50" s="30">
        <f t="shared" ref="AO50:AQ50" si="86">IFERROR(AO25/$B50,0)</f>
        <v>4.2666666666666668E-9</v>
      </c>
      <c r="AP50" s="30">
        <f t="shared" si="86"/>
        <v>9.344E-5</v>
      </c>
      <c r="AQ50" s="30">
        <f t="shared" si="86"/>
        <v>4.2664718506004295E-9</v>
      </c>
      <c r="AR50" s="38">
        <f>IFERROR(up_RadSpec!$G$25*AR$25,".")*$B$50</f>
        <v>11718.75</v>
      </c>
      <c r="AS50" s="38">
        <f>IFERROR(up_RadSpec!$J$25*AS25,".")*$B$50</f>
        <v>0.53510273972602751</v>
      </c>
      <c r="AT50" s="47">
        <f t="shared" si="83"/>
        <v>1</v>
      </c>
      <c r="AU50" s="47">
        <f t="shared" si="83"/>
        <v>0.41439087826672238</v>
      </c>
      <c r="AV50" s="47">
        <f t="shared" si="84"/>
        <v>1</v>
      </c>
    </row>
    <row r="51" spans="1:48" x14ac:dyDescent="0.25">
      <c r="A51" s="29" t="s">
        <v>307</v>
      </c>
      <c r="B51" s="24">
        <v>1</v>
      </c>
      <c r="C51" s="109"/>
      <c r="D51" s="30">
        <f>IFERROR(D21/$B51,0)</f>
        <v>1.0666666666666667E-6</v>
      </c>
      <c r="E51" s="30">
        <f>IFERROR(E21/$B51,0)</f>
        <v>2.1694802535592709E-6</v>
      </c>
      <c r="F51" s="30">
        <f>IFERROR(F21/$B51,0)</f>
        <v>0</v>
      </c>
      <c r="G51" s="30">
        <f t="shared" si="32"/>
        <v>7.1508257427992738E-7</v>
      </c>
      <c r="H51" s="38">
        <f>IFERROR(up_RadSpec!$I$21*H21,".")*$B$51</f>
        <v>46.875</v>
      </c>
      <c r="I51" s="38">
        <f>IFERROR(up_RadSpec!$G$21*I21,".")*$B$51</f>
        <v>23.046994743542612</v>
      </c>
      <c r="J51" s="38">
        <f>IFERROR(up_RadSpec!$F$21*J21,".")*$B$51</f>
        <v>0</v>
      </c>
      <c r="K51" s="47">
        <f t="shared" si="75"/>
        <v>1</v>
      </c>
      <c r="L51" s="47">
        <f t="shared" si="75"/>
        <v>0.99999999990209221</v>
      </c>
      <c r="M51" s="47">
        <f t="shared" si="75"/>
        <v>0</v>
      </c>
      <c r="N51" s="47">
        <f t="shared" si="76"/>
        <v>1</v>
      </c>
      <c r="O51" s="30">
        <f>IFERROR(O21/$B51,0)</f>
        <v>1.0666666666666667E-6</v>
      </c>
      <c r="P51" s="30">
        <f>IFERROR(P21/$B51,0)</f>
        <v>1.3644722035813288E-5</v>
      </c>
      <c r="Q51" s="30">
        <f>IFERROR(Q21/$B51,0)</f>
        <v>0</v>
      </c>
      <c r="R51" s="30">
        <f t="shared" si="77"/>
        <v>9.893267363046894E-7</v>
      </c>
      <c r="S51" s="38">
        <f>IFERROR(up_RadSpec!$I$21*S21,".")*$B$51</f>
        <v>46.875</v>
      </c>
      <c r="T51" s="38">
        <f>IFERROR(up_RadSpec!$G$21*T21,".")*$B$51</f>
        <v>3.664420562673615</v>
      </c>
      <c r="U51" s="38">
        <f>IFERROR(up_RadSpec!$F$21*U21,".")*$B$51</f>
        <v>0</v>
      </c>
      <c r="V51" s="47">
        <f t="shared" si="78"/>
        <v>1</v>
      </c>
      <c r="W51" s="47">
        <f t="shared" si="78"/>
        <v>0.97438098840463438</v>
      </c>
      <c r="X51" s="47">
        <f t="shared" si="78"/>
        <v>0</v>
      </c>
      <c r="Y51" s="47">
        <f t="shared" si="79"/>
        <v>1</v>
      </c>
      <c r="Z51" s="30">
        <f t="shared" ref="Z51:AD51" si="87">IFERROR(Z21/$B51,0)</f>
        <v>0</v>
      </c>
      <c r="AA51" s="30">
        <f t="shared" si="87"/>
        <v>0</v>
      </c>
      <c r="AB51" s="30">
        <f t="shared" si="87"/>
        <v>0</v>
      </c>
      <c r="AC51" s="30">
        <f t="shared" si="87"/>
        <v>0</v>
      </c>
      <c r="AD51" s="30">
        <f t="shared" si="87"/>
        <v>0</v>
      </c>
      <c r="AE51" s="38">
        <f>IFERROR(up_RadSpec!$F$21*AE21,".")*$B$51</f>
        <v>0</v>
      </c>
      <c r="AF51" s="38">
        <f>IFERROR(up_RadSpec!$M$21*AF21,".")*$B$51</f>
        <v>0</v>
      </c>
      <c r="AG51" s="38">
        <f>IFERROR(up_RadSpec!$N$21*AG21,".")*$B$51</f>
        <v>0</v>
      </c>
      <c r="AH51" s="38">
        <f>IFERROR(up_RadSpec!$O$21*AH21,".")*$B$51</f>
        <v>0</v>
      </c>
      <c r="AI51" s="38">
        <f>IFERROR(up_RadSpec!$K$21*AI21,".")*$B$51</f>
        <v>0</v>
      </c>
      <c r="AJ51" s="47">
        <f t="shared" si="81"/>
        <v>0</v>
      </c>
      <c r="AK51" s="47">
        <f t="shared" si="81"/>
        <v>0</v>
      </c>
      <c r="AL51" s="47">
        <f t="shared" si="81"/>
        <v>0</v>
      </c>
      <c r="AM51" s="47">
        <f t="shared" si="81"/>
        <v>0</v>
      </c>
      <c r="AN51" s="47">
        <f t="shared" si="81"/>
        <v>0</v>
      </c>
      <c r="AO51" s="30">
        <f t="shared" ref="AO51:AQ51" si="88">IFERROR(AO21/$B51,0)</f>
        <v>4.2666666666666668E-9</v>
      </c>
      <c r="AP51" s="30">
        <f t="shared" si="88"/>
        <v>9.344E-5</v>
      </c>
      <c r="AQ51" s="30">
        <f t="shared" si="88"/>
        <v>4.2664718506004295E-9</v>
      </c>
      <c r="AR51" s="38">
        <f>IFERROR(up_RadSpec!$G$21*AR21,".")*$B$51</f>
        <v>11718.75</v>
      </c>
      <c r="AS51" s="38">
        <f>IFERROR(up_RadSpec!$J$21*AS21,".")*$B$51</f>
        <v>0.53510273972602751</v>
      </c>
      <c r="AT51" s="47">
        <f t="shared" si="83"/>
        <v>1</v>
      </c>
      <c r="AU51" s="47">
        <f t="shared" si="83"/>
        <v>0.41439087826672238</v>
      </c>
      <c r="AV51" s="47">
        <f t="shared" si="84"/>
        <v>1</v>
      </c>
    </row>
    <row r="52" spans="1:48" x14ac:dyDescent="0.25">
      <c r="A52" s="29" t="s">
        <v>308</v>
      </c>
      <c r="B52" s="32">
        <v>0.99980000000000002</v>
      </c>
      <c r="C52" s="109"/>
      <c r="D52" s="30">
        <f>IFERROR(D17/$B52,0)</f>
        <v>1.0668800426752016E-6</v>
      </c>
      <c r="E52" s="30">
        <f>IFERROR(E17/$B52,0)</f>
        <v>2.1699142364065522E-6</v>
      </c>
      <c r="F52" s="30">
        <f>IFERROR(F17/$B52,0)</f>
        <v>1.0316868568518893E-3</v>
      </c>
      <c r="G52" s="30">
        <f t="shared" si="32"/>
        <v>7.147301267122136E-7</v>
      </c>
      <c r="H52" s="38">
        <f>IFERROR(up_RadSpec!$I$17*H17,".")*$B$52</f>
        <v>46.865625000000001</v>
      </c>
      <c r="I52" s="38">
        <f>IFERROR(up_RadSpec!$G$17*I17,".")*$B$52</f>
        <v>23.042385344593903</v>
      </c>
      <c r="J52" s="38">
        <f>IFERROR(up_RadSpec!$F$17*J17,".")*$B$52</f>
        <v>4.8464318090249828E-2</v>
      </c>
      <c r="K52" s="47">
        <f t="shared" si="75"/>
        <v>1</v>
      </c>
      <c r="L52" s="47">
        <f t="shared" si="75"/>
        <v>0.9999999999016399</v>
      </c>
      <c r="M52" s="47">
        <f t="shared" si="75"/>
        <v>4.7308667454492914E-2</v>
      </c>
      <c r="N52" s="47">
        <f t="shared" si="76"/>
        <v>1</v>
      </c>
      <c r="O52" s="30">
        <f>IFERROR(O17/$B52,0)</f>
        <v>1.0668800426752016E-6</v>
      </c>
      <c r="P52" s="30">
        <f>IFERROR(P17/$B52,0)</f>
        <v>1.3647451526118512E-5</v>
      </c>
      <c r="Q52" s="30">
        <f>IFERROR(Q17/$B52,0)</f>
        <v>1.0316868568518893E-3</v>
      </c>
      <c r="R52" s="30">
        <f t="shared" si="77"/>
        <v>9.8857646517976497E-7</v>
      </c>
      <c r="S52" s="38">
        <f>IFERROR(up_RadSpec!$I$17*S17,".")*$B$52</f>
        <v>46.865625000000001</v>
      </c>
      <c r="T52" s="38">
        <f>IFERROR(up_RadSpec!$G$17*T17,".")*$B$52</f>
        <v>3.6636876785610806</v>
      </c>
      <c r="U52" s="38">
        <f>IFERROR(up_RadSpec!$F$17*U17,".")*$B$52</f>
        <v>4.8464318090249828E-2</v>
      </c>
      <c r="V52" s="47">
        <f t="shared" si="78"/>
        <v>1</v>
      </c>
      <c r="W52" s="47">
        <f t="shared" si="78"/>
        <v>0.97436220575614563</v>
      </c>
      <c r="X52" s="47">
        <f t="shared" si="78"/>
        <v>4.7308667454492914E-2</v>
      </c>
      <c r="Y52" s="47">
        <f t="shared" si="79"/>
        <v>1</v>
      </c>
      <c r="Z52" s="30">
        <f t="shared" ref="Z52:AD52" si="89">IFERROR(Z17/$B52,0)</f>
        <v>1.0316868568518893E-3</v>
      </c>
      <c r="AA52" s="30">
        <f t="shared" si="89"/>
        <v>1.8030885430496012E-3</v>
      </c>
      <c r="AB52" s="30">
        <f t="shared" si="89"/>
        <v>1.3584729210207249E-3</v>
      </c>
      <c r="AC52" s="30">
        <f t="shared" si="89"/>
        <v>1.2079968772729123E-3</v>
      </c>
      <c r="AD52" s="30">
        <f t="shared" si="89"/>
        <v>3.454963059070797E-3</v>
      </c>
      <c r="AE52" s="38">
        <f>IFERROR(up_RadSpec!$F$17*AE17,".")*$B$52</f>
        <v>4.8464318090249828E-2</v>
      </c>
      <c r="AF52" s="38">
        <f>IFERROR(up_RadSpec!$M$17*AF17,".")*$B$52</f>
        <v>2.7730196718700219E-2</v>
      </c>
      <c r="AG52" s="38">
        <f>IFERROR(up_RadSpec!$N$17*AG17,".")*$B$52</f>
        <v>3.680603361782963E-2</v>
      </c>
      <c r="AH52" s="38">
        <f>IFERROR(up_RadSpec!$O$17*AH17,".")*$B$52</f>
        <v>4.1390835473744322E-2</v>
      </c>
      <c r="AI52" s="38">
        <f>IFERROR(up_RadSpec!$K$17*AI17,".")*$B$52</f>
        <v>1.4471934763159921E-2</v>
      </c>
      <c r="AJ52" s="47">
        <f t="shared" si="81"/>
        <v>4.7308667454492914E-2</v>
      </c>
      <c r="AK52" s="47">
        <f t="shared" si="81"/>
        <v>2.7349244231581915E-2</v>
      </c>
      <c r="AL52" s="47">
        <f t="shared" si="81"/>
        <v>3.6136925748043724E-2</v>
      </c>
      <c r="AM52" s="47">
        <f t="shared" si="81"/>
        <v>4.0545932026381348E-2</v>
      </c>
      <c r="AN52" s="47">
        <f t="shared" si="81"/>
        <v>1.4367719652399136E-2</v>
      </c>
      <c r="AO52" s="30">
        <f t="shared" ref="AO52:AQ52" si="90">IFERROR(AO17/$B52,0)</f>
        <v>4.2675201707008067E-9</v>
      </c>
      <c r="AP52" s="30">
        <f t="shared" si="90"/>
        <v>9.3458691738347672E-5</v>
      </c>
      <c r="AQ52" s="30">
        <f t="shared" si="90"/>
        <v>4.2673253156635621E-9</v>
      </c>
      <c r="AR52" s="38">
        <f>IFERROR(up_RadSpec!$G$17*AR17,".")*$B$52</f>
        <v>11716.40625</v>
      </c>
      <c r="AS52" s="38">
        <f>IFERROR(up_RadSpec!$J$17*AS17,".")*$B$52</f>
        <v>0.53499571917808231</v>
      </c>
      <c r="AT52" s="47">
        <f t="shared" si="83"/>
        <v>1</v>
      </c>
      <c r="AU52" s="47">
        <f t="shared" si="83"/>
        <v>0.41432820270390613</v>
      </c>
      <c r="AV52" s="47">
        <f t="shared" si="84"/>
        <v>1</v>
      </c>
    </row>
    <row r="53" spans="1:48" x14ac:dyDescent="0.25">
      <c r="A53" s="29" t="s">
        <v>309</v>
      </c>
      <c r="B53" s="24">
        <v>2.0000000000000001E-4</v>
      </c>
      <c r="C53" s="109"/>
      <c r="D53" s="30">
        <f>IFERROR(D5/$B53,0)</f>
        <v>5.3333333333333332E-3</v>
      </c>
      <c r="E53" s="30">
        <f>IFERROR(E5/$B53,0)</f>
        <v>1.0847401267796354E-2</v>
      </c>
      <c r="F53" s="30">
        <f>IFERROR(F5/$B53,0)</f>
        <v>0</v>
      </c>
      <c r="G53" s="30">
        <f t="shared" si="32"/>
        <v>3.5754128713996369E-3</v>
      </c>
      <c r="H53" s="38">
        <f>IFERROR(up_RadSpec!$I$5*H5,".")*$B$53</f>
        <v>9.3749999999999997E-3</v>
      </c>
      <c r="I53" s="38">
        <f>IFERROR(up_RadSpec!$G$5*I5,".")*$B$53</f>
        <v>4.609398948708523E-3</v>
      </c>
      <c r="J53" s="38">
        <f>IFERROR(up_RadSpec!$F$5*J5,".")*$B$53</f>
        <v>0</v>
      </c>
      <c r="K53" s="47">
        <f t="shared" si="75"/>
        <v>9.3749999999999997E-3</v>
      </c>
      <c r="L53" s="47">
        <f t="shared" si="75"/>
        <v>4.609398948708523E-3</v>
      </c>
      <c r="M53" s="47">
        <f t="shared" si="75"/>
        <v>0</v>
      </c>
      <c r="N53" s="47">
        <f t="shared" si="76"/>
        <v>1.3887071458766553E-2</v>
      </c>
      <c r="O53" s="30">
        <f>IFERROR(O5/$B53,0)</f>
        <v>5.3333333333333332E-3</v>
      </c>
      <c r="P53" s="30">
        <f>IFERROR(P5/$B53,0)</f>
        <v>6.8223610179066432E-2</v>
      </c>
      <c r="Q53" s="30">
        <f>IFERROR(Q5/$B53,0)</f>
        <v>0</v>
      </c>
      <c r="R53" s="30">
        <f t="shared" si="77"/>
        <v>4.9466336815234477E-3</v>
      </c>
      <c r="S53" s="38">
        <f>IFERROR(up_RadSpec!$I$5*S5,".")*$B$53</f>
        <v>9.3749999999999997E-3</v>
      </c>
      <c r="T53" s="38">
        <f>IFERROR(up_RadSpec!$G$5*T5,".")*$B$53</f>
        <v>7.3288411253472302E-4</v>
      </c>
      <c r="U53" s="38">
        <f>IFERROR(up_RadSpec!$F$5*U5,".")*$B$53</f>
        <v>0</v>
      </c>
      <c r="V53" s="47">
        <f t="shared" si="78"/>
        <v>9.3749999999999997E-3</v>
      </c>
      <c r="W53" s="47">
        <f t="shared" si="78"/>
        <v>7.3288411253472302E-4</v>
      </c>
      <c r="X53" s="47">
        <f t="shared" si="78"/>
        <v>0</v>
      </c>
      <c r="Y53" s="47">
        <f t="shared" si="79"/>
        <v>1.0056971137132331E-2</v>
      </c>
      <c r="Z53" s="30">
        <f t="shared" ref="Z53:AD53" si="91">IFERROR(Z5/$B53,0)</f>
        <v>0</v>
      </c>
      <c r="AA53" s="30">
        <f t="shared" si="91"/>
        <v>0</v>
      </c>
      <c r="AB53" s="30">
        <f t="shared" si="91"/>
        <v>0</v>
      </c>
      <c r="AC53" s="30">
        <f t="shared" si="91"/>
        <v>0</v>
      </c>
      <c r="AD53" s="30">
        <f t="shared" si="91"/>
        <v>0</v>
      </c>
      <c r="AE53" s="38">
        <f>IFERROR(up_RadSpec!$F$5*AE5,".")*$B$53</f>
        <v>0</v>
      </c>
      <c r="AF53" s="38">
        <f>IFERROR(up_RadSpec!$M$5*AF5,".")*$B$53</f>
        <v>0</v>
      </c>
      <c r="AG53" s="38">
        <f>IFERROR(up_RadSpec!$N$5*AG5,".")*$B$53</f>
        <v>0</v>
      </c>
      <c r="AH53" s="38">
        <f>IFERROR(up_RadSpec!$O$5*AH5,".")*$B$53</f>
        <v>0</v>
      </c>
      <c r="AI53" s="38">
        <f>IFERROR(up_RadSpec!$K$5*AI5,".")*$B$53</f>
        <v>0</v>
      </c>
      <c r="AJ53" s="47">
        <f t="shared" si="81"/>
        <v>0</v>
      </c>
      <c r="AK53" s="47">
        <f t="shared" si="81"/>
        <v>0</v>
      </c>
      <c r="AL53" s="47">
        <f t="shared" si="81"/>
        <v>0</v>
      </c>
      <c r="AM53" s="47">
        <f t="shared" si="81"/>
        <v>0</v>
      </c>
      <c r="AN53" s="47">
        <f t="shared" si="81"/>
        <v>0</v>
      </c>
      <c r="AO53" s="30">
        <f t="shared" ref="AO53:AQ53" si="92">IFERROR(AO5/$B53,0)</f>
        <v>2.1333333333333335E-5</v>
      </c>
      <c r="AP53" s="30">
        <f t="shared" si="92"/>
        <v>0.4672</v>
      </c>
      <c r="AQ53" s="30">
        <f t="shared" si="92"/>
        <v>2.1332359253002145E-5</v>
      </c>
      <c r="AR53" s="38">
        <f>IFERROR(up_RadSpec!$G$5*AR5,".")*$B$53</f>
        <v>2.34375</v>
      </c>
      <c r="AS53" s="38">
        <f>IFERROR(up_RadSpec!$J$5*AS5,".")*$B$53</f>
        <v>1.070205479452055E-4</v>
      </c>
      <c r="AT53" s="47">
        <f t="shared" si="83"/>
        <v>0.90403291395500152</v>
      </c>
      <c r="AU53" s="47">
        <f t="shared" si="83"/>
        <v>1.070205479452055E-4</v>
      </c>
      <c r="AV53" s="47">
        <f t="shared" si="84"/>
        <v>0.9040431838555798</v>
      </c>
    </row>
    <row r="54" spans="1:48" x14ac:dyDescent="0.25">
      <c r="A54" s="29" t="s">
        <v>310</v>
      </c>
      <c r="B54" s="24">
        <v>0.99999979999999999</v>
      </c>
      <c r="C54" s="109"/>
      <c r="D54" s="30">
        <f>IFERROR(D9/$B54,0)</f>
        <v>1.0666668800000428E-6</v>
      </c>
      <c r="E54" s="30">
        <f>IFERROR(E9/$B54,0)</f>
        <v>2.1694806874554082E-6</v>
      </c>
      <c r="F54" s="30">
        <f>IFERROR(F9/$B54,0)</f>
        <v>3.813654020787731E-4</v>
      </c>
      <c r="G54" s="30">
        <f t="shared" si="32"/>
        <v>7.1374440426316061E-7</v>
      </c>
      <c r="H54" s="38">
        <f>IFERROR(up_RadSpec!$I$9*H9,".")*$B$54</f>
        <v>46.874990625000002</v>
      </c>
      <c r="I54" s="38">
        <f>IFERROR(up_RadSpec!$G$9*I9,".")*$B$54</f>
        <v>23.046990134143662</v>
      </c>
      <c r="J54" s="38">
        <f>IFERROR(up_RadSpec!$F$9*J9,".")*$B$54</f>
        <v>0.1311078554254175</v>
      </c>
      <c r="K54" s="47">
        <f t="shared" si="75"/>
        <v>1</v>
      </c>
      <c r="L54" s="47">
        <f t="shared" si="75"/>
        <v>0.99999999990209176</v>
      </c>
      <c r="M54" s="47">
        <f t="shared" si="75"/>
        <v>0.12287683320313425</v>
      </c>
      <c r="N54" s="47">
        <f t="shared" si="76"/>
        <v>1</v>
      </c>
      <c r="O54" s="30">
        <f>IFERROR(O9/$B54,0)</f>
        <v>1.0666668800000428E-6</v>
      </c>
      <c r="P54" s="30">
        <f>IFERROR(P9/$B54,0)</f>
        <v>1.3644724764758241E-5</v>
      </c>
      <c r="Q54" s="30">
        <f>IFERROR(Q9/$B54,0)</f>
        <v>3.813654020787731E-4</v>
      </c>
      <c r="R54" s="30">
        <f t="shared" si="77"/>
        <v>9.8676709193875092E-7</v>
      </c>
      <c r="S54" s="38">
        <f>IFERROR(up_RadSpec!$I$9*S9,".")*$B$54</f>
        <v>46.874990625000002</v>
      </c>
      <c r="T54" s="38">
        <f>IFERROR(up_RadSpec!$G$9*T9,".")*$B$54</f>
        <v>3.6644198297895025</v>
      </c>
      <c r="U54" s="38">
        <f>IFERROR(up_RadSpec!$F$9*U9,".")*$B$54</f>
        <v>0.1311078554254175</v>
      </c>
      <c r="V54" s="47">
        <f t="shared" si="78"/>
        <v>1</v>
      </c>
      <c r="W54" s="47">
        <f t="shared" si="78"/>
        <v>0.97438096962886089</v>
      </c>
      <c r="X54" s="47">
        <f t="shared" si="78"/>
        <v>0.12287683320313425</v>
      </c>
      <c r="Y54" s="47">
        <f t="shared" si="79"/>
        <v>1</v>
      </c>
      <c r="Z54" s="30">
        <f t="shared" ref="Z54:AD54" si="93">IFERROR(Z9/$B54,0)</f>
        <v>3.813654020787731E-4</v>
      </c>
      <c r="AA54" s="30">
        <f t="shared" si="93"/>
        <v>7.8110015622003155E-4</v>
      </c>
      <c r="AB54" s="30">
        <f t="shared" si="93"/>
        <v>5.4959735479893478E-4</v>
      </c>
      <c r="AC54" s="30">
        <f t="shared" si="93"/>
        <v>4.5304251485092721E-4</v>
      </c>
      <c r="AD54" s="30">
        <f t="shared" si="93"/>
        <v>1.3835466833543354E-3</v>
      </c>
      <c r="AE54" s="38">
        <f>IFERROR(up_RadSpec!$F$9*AE9,".")*$B$54</f>
        <v>0.1311078554254175</v>
      </c>
      <c r="AF54" s="38">
        <f>IFERROR(up_RadSpec!$M$9*AF9,".")*$B$54</f>
        <v>6.4012277557290984E-2</v>
      </c>
      <c r="AG54" s="38">
        <f>IFERROR(up_RadSpec!$N$9*AG9,".")*$B$54</f>
        <v>9.0975692592792881E-2</v>
      </c>
      <c r="AH54" s="38">
        <f>IFERROR(up_RadSpec!$O$9*AH9,".")*$B$54</f>
        <v>0.11036491799550516</v>
      </c>
      <c r="AI54" s="38">
        <f>IFERROR(up_RadSpec!$K$9*AI9,".")*$B$54</f>
        <v>3.6139004633206635E-2</v>
      </c>
      <c r="AJ54" s="47">
        <f t="shared" si="81"/>
        <v>0.12287683320313425</v>
      </c>
      <c r="AK54" s="47">
        <f t="shared" si="81"/>
        <v>6.2006516808695067E-2</v>
      </c>
      <c r="AL54" s="47">
        <f t="shared" si="81"/>
        <v>8.6960095737717569E-2</v>
      </c>
      <c r="AM54" s="47">
        <f t="shared" si="81"/>
        <v>0.10449271106074343</v>
      </c>
      <c r="AN54" s="47">
        <f t="shared" si="81"/>
        <v>3.5493786667951888E-2</v>
      </c>
      <c r="AO54" s="30">
        <f t="shared" ref="AO54:AQ54" si="94">IFERROR(AO9/$B54,0)</f>
        <v>4.266667520000171E-9</v>
      </c>
      <c r="AP54" s="30">
        <f t="shared" si="94"/>
        <v>9.344001868800374E-5</v>
      </c>
      <c r="AQ54" s="30">
        <f t="shared" si="94"/>
        <v>4.2664727038949703E-9</v>
      </c>
      <c r="AR54" s="38">
        <f>IFERROR(up_RadSpec!$G$9*AR9,".")*$B$54</f>
        <v>11718.74765625</v>
      </c>
      <c r="AS54" s="38">
        <f>IFERROR(up_RadSpec!$J$9*AS9,".")*$B$54</f>
        <v>0.53510263270547953</v>
      </c>
      <c r="AT54" s="47">
        <f t="shared" si="83"/>
        <v>1</v>
      </c>
      <c r="AU54" s="47">
        <f t="shared" si="83"/>
        <v>0.41439081559450996</v>
      </c>
      <c r="AV54" s="47">
        <f t="shared" si="84"/>
        <v>1</v>
      </c>
    </row>
    <row r="55" spans="1:48" x14ac:dyDescent="0.25">
      <c r="A55" s="29" t="s">
        <v>311</v>
      </c>
      <c r="B55" s="24">
        <v>1.9999999999999999E-7</v>
      </c>
      <c r="C55" s="109"/>
      <c r="D55" s="30">
        <f>IFERROR(D24/$B55,0)</f>
        <v>5.3333333333333339</v>
      </c>
      <c r="E55" s="30">
        <f>IFERROR(E24/$B55,0)</f>
        <v>10.847401267796355</v>
      </c>
      <c r="F55" s="30">
        <f>IFERROR(F24/$B55,0)</f>
        <v>3365.0732335425732</v>
      </c>
      <c r="G55" s="30">
        <f t="shared" si="32"/>
        <v>3.5716180033255864</v>
      </c>
      <c r="H55" s="38">
        <f>IFERROR(up_RadSpec!$I$24*H24,".")*$B$55</f>
        <v>9.3749999999999992E-6</v>
      </c>
      <c r="I55" s="38">
        <f>IFERROR(up_RadSpec!$G$24*I24,".")*$B$55</f>
        <v>4.6093989487085222E-6</v>
      </c>
      <c r="J55" s="38">
        <f>IFERROR(up_RadSpec!$F$24*J24,".")*$B$55</f>
        <v>1.4858517639856122E-8</v>
      </c>
      <c r="K55" s="47">
        <f t="shared" si="75"/>
        <v>9.3749999999999992E-6</v>
      </c>
      <c r="L55" s="47">
        <f t="shared" si="75"/>
        <v>4.6093989487085222E-6</v>
      </c>
      <c r="M55" s="47">
        <f t="shared" si="75"/>
        <v>1.4858517639856122E-8</v>
      </c>
      <c r="N55" s="47">
        <f t="shared" si="76"/>
        <v>1.3999257466348377E-5</v>
      </c>
      <c r="O55" s="30">
        <f>IFERROR(O24/$B55,0)</f>
        <v>5.3333333333333339</v>
      </c>
      <c r="P55" s="30">
        <f>IFERROR(P24/$B55,0)</f>
        <v>68.223610179066441</v>
      </c>
      <c r="Q55" s="30">
        <f>IFERROR(Q24/$B55,0)</f>
        <v>3365.0732335425732</v>
      </c>
      <c r="R55" s="30">
        <f t="shared" si="77"/>
        <v>4.9393728386372793</v>
      </c>
      <c r="S55" s="38">
        <f>IFERROR(up_RadSpec!$I$24*S24,".")*$B$55</f>
        <v>9.3749999999999992E-6</v>
      </c>
      <c r="T55" s="38">
        <f>IFERROR(up_RadSpec!$G$24*T24,".")*$B$55</f>
        <v>7.3288411253472298E-7</v>
      </c>
      <c r="U55" s="38">
        <f>IFERROR(up_RadSpec!$F$24*U24,".")*$B$55</f>
        <v>1.4858517639856122E-8</v>
      </c>
      <c r="V55" s="47">
        <f t="shared" si="78"/>
        <v>9.3749999999999992E-6</v>
      </c>
      <c r="W55" s="47">
        <f t="shared" si="78"/>
        <v>7.3288411253472298E-7</v>
      </c>
      <c r="X55" s="47">
        <f t="shared" si="78"/>
        <v>1.4858517639856122E-8</v>
      </c>
      <c r="Y55" s="47">
        <f t="shared" si="79"/>
        <v>1.0122742630174578E-5</v>
      </c>
      <c r="Z55" s="30">
        <f t="shared" ref="Z55:AD55" si="95">IFERROR(Z24/$B55,0)</f>
        <v>3365.0732335425732</v>
      </c>
      <c r="AA55" s="30">
        <f t="shared" si="95"/>
        <v>6100.9281243254936</v>
      </c>
      <c r="AB55" s="30">
        <f t="shared" si="95"/>
        <v>4307.6494855609108</v>
      </c>
      <c r="AC55" s="30">
        <f t="shared" si="95"/>
        <v>3597.1666153372344</v>
      </c>
      <c r="AD55" s="30">
        <f t="shared" si="95"/>
        <v>10139.780219780218</v>
      </c>
      <c r="AE55" s="38">
        <f>IFERROR(up_RadSpec!$F$24*AE24,".")*$B$55</f>
        <v>1.4858517639856122E-8</v>
      </c>
      <c r="AF55" s="38">
        <f>IFERROR(up_RadSpec!$M$24*AF24,".")*$B$55</f>
        <v>8.1954743575229245E-9</v>
      </c>
      <c r="AG55" s="38">
        <f>IFERROR(up_RadSpec!$N$24*AG24,".")*$B$55</f>
        <v>1.1607258243178382E-8</v>
      </c>
      <c r="AH55" s="38">
        <f>IFERROR(up_RadSpec!$O$24*AH24,".")*$B$55</f>
        <v>1.389982876712329E-8</v>
      </c>
      <c r="AI55" s="38">
        <f>IFERROR(up_RadSpec!$K$24*AI24,".")*$B$55</f>
        <v>4.9310733483613691E-9</v>
      </c>
      <c r="AJ55" s="47">
        <f t="shared" si="81"/>
        <v>1.4858517639856122E-8</v>
      </c>
      <c r="AK55" s="47">
        <f t="shared" si="81"/>
        <v>8.1954743575229245E-9</v>
      </c>
      <c r="AL55" s="47">
        <f t="shared" si="81"/>
        <v>1.1607258243178382E-8</v>
      </c>
      <c r="AM55" s="47">
        <f t="shared" si="81"/>
        <v>1.389982876712329E-8</v>
      </c>
      <c r="AN55" s="47">
        <f t="shared" si="81"/>
        <v>4.9310733483613691E-9</v>
      </c>
      <c r="AO55" s="30">
        <f t="shared" ref="AO55:AQ55" si="96">IFERROR(AO24/$B55,0)</f>
        <v>2.1333333333333336E-2</v>
      </c>
      <c r="AP55" s="30">
        <f t="shared" si="96"/>
        <v>467.20000000000005</v>
      </c>
      <c r="AQ55" s="30">
        <f t="shared" si="96"/>
        <v>2.1332359253002149E-2</v>
      </c>
      <c r="AR55" s="38">
        <f>IFERROR(up_RadSpec!$G$24*AR24,".")*$B$55</f>
        <v>2.3437499999999999E-3</v>
      </c>
      <c r="AS55" s="38">
        <f>IFERROR(up_RadSpec!$J$24*AS24,".")*$B$55</f>
        <v>1.070205479452055E-7</v>
      </c>
      <c r="AT55" s="47">
        <f t="shared" si="83"/>
        <v>2.3437499999999999E-3</v>
      </c>
      <c r="AU55" s="47">
        <f t="shared" si="83"/>
        <v>1.070205479452055E-7</v>
      </c>
      <c r="AV55" s="47">
        <f t="shared" si="84"/>
        <v>2.3438570205479453E-3</v>
      </c>
    </row>
    <row r="56" spans="1:48" x14ac:dyDescent="0.25">
      <c r="A56" s="29" t="s">
        <v>312</v>
      </c>
      <c r="B56" s="24">
        <v>0.99979000004200003</v>
      </c>
      <c r="C56" s="109"/>
      <c r="D56" s="30">
        <f>IFERROR(D20/$B56,0)</f>
        <v>1.0668907136717282E-6</v>
      </c>
      <c r="E56" s="30">
        <f>IFERROR(E20/$B56,0)</f>
        <v>2.1699359400155368E-6</v>
      </c>
      <c r="F56" s="30">
        <f>IFERROR(F20/$B56,0)</f>
        <v>5.2722208620013995E-4</v>
      </c>
      <c r="G56" s="30">
        <f t="shared" si="32"/>
        <v>7.1426379840479604E-7</v>
      </c>
      <c r="H56" s="38">
        <f>IFERROR(up_RadSpec!$I$20*H20,".")*$B$56</f>
        <v>46.865156251968749</v>
      </c>
      <c r="I56" s="38">
        <f>IFERROR(up_RadSpec!$G$20*I20,".")*$B$56</f>
        <v>23.042154875614443</v>
      </c>
      <c r="J56" s="38">
        <f>IFERROR(up_RadSpec!$F$20*J20,".")*$B$56</f>
        <v>9.4836694646778116E-2</v>
      </c>
      <c r="K56" s="47">
        <f t="shared" si="75"/>
        <v>1</v>
      </c>
      <c r="L56" s="47">
        <f t="shared" si="75"/>
        <v>0.99999999990161714</v>
      </c>
      <c r="M56" s="47">
        <f t="shared" si="75"/>
        <v>9.0478547936965747E-2</v>
      </c>
      <c r="N56" s="47">
        <f t="shared" si="76"/>
        <v>1</v>
      </c>
      <c r="O56" s="30">
        <f>IFERROR(O20/$B56,0)</f>
        <v>1.0668907136717282E-6</v>
      </c>
      <c r="P56" s="30">
        <f>IFERROR(P20/$B56,0)</f>
        <v>1.3647588028726121E-5</v>
      </c>
      <c r="Q56" s="30">
        <f>IFERROR(Q20/$B56,0)</f>
        <v>5.2722208620013995E-4</v>
      </c>
      <c r="R56" s="30">
        <f t="shared" si="77"/>
        <v>9.8768077656840699E-7</v>
      </c>
      <c r="S56" s="38">
        <f>IFERROR(up_RadSpec!$I$20*S20,".")*$B$56</f>
        <v>46.865156251968749</v>
      </c>
      <c r="T56" s="38">
        <f>IFERROR(up_RadSpec!$G$20*T20,".")*$B$56</f>
        <v>3.6636510345093591</v>
      </c>
      <c r="U56" s="38">
        <f>IFERROR(up_RadSpec!$F$20*U20,".")*$B$56</f>
        <v>9.4836694646778116E-2</v>
      </c>
      <c r="V56" s="47">
        <f t="shared" si="78"/>
        <v>1</v>
      </c>
      <c r="W56" s="47">
        <f t="shared" si="78"/>
        <v>0.97436126626627417</v>
      </c>
      <c r="X56" s="47">
        <f t="shared" si="78"/>
        <v>9.0478547936965747E-2</v>
      </c>
      <c r="Y56" s="47">
        <f t="shared" si="79"/>
        <v>1</v>
      </c>
      <c r="Z56" s="30">
        <f t="shared" ref="Z56:AD56" si="97">IFERROR(Z20/$B56,0)</f>
        <v>5.2722208620013995E-4</v>
      </c>
      <c r="AA56" s="30">
        <f t="shared" si="97"/>
        <v>1.0397318870467519E-3</v>
      </c>
      <c r="AB56" s="30">
        <f t="shared" si="97"/>
        <v>7.2747877783879949E-4</v>
      </c>
      <c r="AC56" s="30">
        <f t="shared" si="97"/>
        <v>6.1084723214146043E-4</v>
      </c>
      <c r="AD56" s="30">
        <f t="shared" si="97"/>
        <v>1.771663340518391E-3</v>
      </c>
      <c r="AE56" s="38">
        <f>IFERROR(up_RadSpec!$F$20*AE20,".")*$B$56</f>
        <v>9.4836694646778116E-2</v>
      </c>
      <c r="AF56" s="38">
        <f>IFERROR(up_RadSpec!$M$20*AF20,".")*$B$56</f>
        <v>4.8089320547838266E-2</v>
      </c>
      <c r="AG56" s="38">
        <f>IFERROR(up_RadSpec!$N$20*AG20,".")*$B$56</f>
        <v>6.8730527299422334E-2</v>
      </c>
      <c r="AH56" s="38">
        <f>IFERROR(up_RadSpec!$O$20*AH20,".")*$B$56</f>
        <v>8.1853526330493337E-2</v>
      </c>
      <c r="AI56" s="38">
        <f>IFERROR(up_RadSpec!$K$20*AI20,".")*$B$56</f>
        <v>2.8222066154718731E-2</v>
      </c>
      <c r="AJ56" s="47">
        <f t="shared" si="81"/>
        <v>9.0478547936965747E-2</v>
      </c>
      <c r="AK56" s="47">
        <f t="shared" si="81"/>
        <v>4.6951343552506297E-2</v>
      </c>
      <c r="AL56" s="47">
        <f t="shared" si="81"/>
        <v>6.6421779970743389E-2</v>
      </c>
      <c r="AM56" s="47">
        <f t="shared" si="81"/>
        <v>7.8593089336033817E-2</v>
      </c>
      <c r="AN56" s="47">
        <f t="shared" si="81"/>
        <v>2.7827543770159391E-2</v>
      </c>
      <c r="AO56" s="30">
        <f t="shared" ref="AO56:AQ56" si="98">IFERROR(AO20/$B56,0)</f>
        <v>4.2675628546869131E-9</v>
      </c>
      <c r="AP56" s="30">
        <f t="shared" si="98"/>
        <v>9.3459626517643403E-5</v>
      </c>
      <c r="AQ56" s="30">
        <f t="shared" si="98"/>
        <v>4.2673679977007168E-9</v>
      </c>
      <c r="AR56" s="38">
        <f>IFERROR(up_RadSpec!$G$20*AR20,".")*$B$56</f>
        <v>11716.289062992188</v>
      </c>
      <c r="AS56" s="38">
        <f>IFERROR(up_RadSpec!$J$20*AS20,".")*$B$56</f>
        <v>0.53499036817315937</v>
      </c>
      <c r="AT56" s="47">
        <f t="shared" si="83"/>
        <v>1</v>
      </c>
      <c r="AU56" s="47">
        <f t="shared" si="83"/>
        <v>0.41432506876285069</v>
      </c>
      <c r="AV56" s="47">
        <f t="shared" si="84"/>
        <v>1</v>
      </c>
    </row>
    <row r="57" spans="1:48" x14ac:dyDescent="0.25">
      <c r="A57" s="29" t="s">
        <v>313</v>
      </c>
      <c r="B57" s="24">
        <v>2.0999995799999999E-4</v>
      </c>
      <c r="C57" s="109"/>
      <c r="D57" s="30">
        <f>IFERROR(D29/$B57,0)</f>
        <v>5.0793660952382991E-3</v>
      </c>
      <c r="E57" s="30">
        <f>IFERROR(E29/$B57,0)</f>
        <v>1.0330860416454327E-2</v>
      </c>
      <c r="F57" s="30">
        <f>IFERROR(F29/$B57,0)</f>
        <v>1.9755403378611265</v>
      </c>
      <c r="G57" s="30">
        <f t="shared" si="32"/>
        <v>3.3992965721100156E-3</v>
      </c>
      <c r="H57" s="38">
        <f>IFERROR(up_RadSpec!$I$29*H29,".")*$B$57</f>
        <v>9.8437480312500002E-3</v>
      </c>
      <c r="I57" s="38">
        <f>IFERROR(up_RadSpec!$G$29*I29,".")*$B$57</f>
        <v>4.8398679281701686E-3</v>
      </c>
      <c r="J57" s="38">
        <f>IFERROR(up_RadSpec!$F$29*J29,".")*$B$57</f>
        <v>2.5309531292149619E-5</v>
      </c>
      <c r="K57" s="47">
        <f t="shared" si="75"/>
        <v>9.8437480312500002E-3</v>
      </c>
      <c r="L57" s="47">
        <f t="shared" si="75"/>
        <v>4.8398679281701686E-3</v>
      </c>
      <c r="M57" s="47">
        <f t="shared" si="75"/>
        <v>2.5309531292149619E-5</v>
      </c>
      <c r="N57" s="47">
        <f t="shared" si="76"/>
        <v>1.4601277686980496E-2</v>
      </c>
      <c r="O57" s="30">
        <f>IFERROR(O29/$B57,0)</f>
        <v>5.0793660952382991E-3</v>
      </c>
      <c r="P57" s="30">
        <f>IFERROR(P29/$B57,0)</f>
        <v>6.49748798321821E-2</v>
      </c>
      <c r="Q57" s="30">
        <f>IFERROR(Q29/$B57,0)</f>
        <v>1.9755403378611265</v>
      </c>
      <c r="R57" s="30">
        <f t="shared" si="77"/>
        <v>4.6998728293416924E-3</v>
      </c>
      <c r="S57" s="38">
        <f>IFERROR(up_RadSpec!$I$29*S29,".")*$B$57</f>
        <v>9.8437480312500002E-3</v>
      </c>
      <c r="T57" s="38">
        <f>IFERROR(up_RadSpec!$G$29*T29,".")*$B$57</f>
        <v>7.695281642557955E-4</v>
      </c>
      <c r="U57" s="38">
        <f>IFERROR(up_RadSpec!$F$29*U29,".")*$B$57</f>
        <v>2.5309531292149619E-5</v>
      </c>
      <c r="V57" s="47">
        <f t="shared" si="78"/>
        <v>9.8437480312500002E-3</v>
      </c>
      <c r="W57" s="47">
        <f t="shared" si="78"/>
        <v>7.695281642557955E-4</v>
      </c>
      <c r="X57" s="47">
        <f t="shared" si="78"/>
        <v>2.5309531292149619E-5</v>
      </c>
      <c r="Y57" s="47">
        <f t="shared" si="79"/>
        <v>1.0582196119378273E-2</v>
      </c>
      <c r="Z57" s="30">
        <f t="shared" ref="Z57:AD57" si="99">IFERROR(Z29/$B57,0)</f>
        <v>1.9755403378611265</v>
      </c>
      <c r="AA57" s="30">
        <f t="shared" si="99"/>
        <v>3.9421227600202067</v>
      </c>
      <c r="AB57" s="30">
        <f t="shared" si="99"/>
        <v>2.8083514882478253</v>
      </c>
      <c r="AC57" s="30">
        <f t="shared" si="99"/>
        <v>2.3822070698480062</v>
      </c>
      <c r="AD57" s="30">
        <f t="shared" si="99"/>
        <v>7.0787892945457385</v>
      </c>
      <c r="AE57" s="38">
        <f>IFERROR(up_RadSpec!$F$29*AE29,".")*$B$57</f>
        <v>2.5309531292149619E-5</v>
      </c>
      <c r="AF57" s="38">
        <f>IFERROR(up_RadSpec!$M$29*AF29,".")*$B$57</f>
        <v>1.268352180888038E-5</v>
      </c>
      <c r="AG57" s="38">
        <f>IFERROR(up_RadSpec!$N$29*AG29,".")*$B$57</f>
        <v>1.7804039205646512E-5</v>
      </c>
      <c r="AH57" s="38">
        <f>IFERROR(up_RadSpec!$O$29*AH29,".")*$B$57</f>
        <v>2.0988939472499422E-5</v>
      </c>
      <c r="AI57" s="38">
        <f>IFERROR(up_RadSpec!$K$29*AI29,".")*$B$57</f>
        <v>7.0633547517123283E-6</v>
      </c>
      <c r="AJ57" s="47">
        <f t="shared" si="81"/>
        <v>2.5309531292149619E-5</v>
      </c>
      <c r="AK57" s="47">
        <f t="shared" si="81"/>
        <v>1.268352180888038E-5</v>
      </c>
      <c r="AL57" s="47">
        <f t="shared" si="81"/>
        <v>1.7804039205646512E-5</v>
      </c>
      <c r="AM57" s="47">
        <f t="shared" si="81"/>
        <v>2.0988939472499422E-5</v>
      </c>
      <c r="AN57" s="47">
        <f t="shared" si="81"/>
        <v>7.0633547517123283E-6</v>
      </c>
      <c r="AO57" s="30">
        <f t="shared" ref="AO57:AQ57" si="100">IFERROR(AO29/$B57,0)</f>
        <v>2.0317464380953195E-5</v>
      </c>
      <c r="AP57" s="30">
        <f t="shared" si="100"/>
        <v>0.44495246994287496</v>
      </c>
      <c r="AQ57" s="30">
        <f t="shared" si="100"/>
        <v>2.0316536685214146E-5</v>
      </c>
      <c r="AR57" s="38">
        <f>IFERROR(up_RadSpec!$G$29*AR29,".")*$B$57</f>
        <v>2.4609370078124999</v>
      </c>
      <c r="AS57" s="38">
        <f>IFERROR(up_RadSpec!$J$29*AS29,".")*$B$57</f>
        <v>1.123715528681507E-4</v>
      </c>
      <c r="AT57" s="47">
        <f t="shared" si="83"/>
        <v>0.91464506475566254</v>
      </c>
      <c r="AU57" s="47">
        <f t="shared" si="83"/>
        <v>1.123715528681507E-4</v>
      </c>
      <c r="AV57" s="47">
        <f t="shared" si="84"/>
        <v>0.9146546556833971</v>
      </c>
    </row>
    <row r="58" spans="1:48" x14ac:dyDescent="0.25">
      <c r="A58" s="29" t="s">
        <v>314</v>
      </c>
      <c r="B58" s="24">
        <v>1</v>
      </c>
      <c r="C58" s="109"/>
      <c r="D58" s="30">
        <f>IFERROR(D16/$B58,0)</f>
        <v>1.0666666666666667E-6</v>
      </c>
      <c r="E58" s="30">
        <f>IFERROR(E16/$B58,0)</f>
        <v>2.1694802535592709E-6</v>
      </c>
      <c r="F58" s="30">
        <f>IFERROR(F16/$B58,0)</f>
        <v>11.21921097770155</v>
      </c>
      <c r="G58" s="30">
        <f t="shared" si="32"/>
        <v>7.15082528702475E-7</v>
      </c>
      <c r="H58" s="38">
        <f>IFERROR(up_RadSpec!$I$16*H16,".")*$B$58</f>
        <v>46.875</v>
      </c>
      <c r="I58" s="38">
        <f>IFERROR(up_RadSpec!$G$16*I16,".")*$B$58</f>
        <v>23.046994743542612</v>
      </c>
      <c r="J58" s="38">
        <f>IFERROR(up_RadSpec!$F$16*J16,".")*$B$58</f>
        <v>4.4566413894324839E-6</v>
      </c>
      <c r="K58" s="47">
        <f t="shared" si="75"/>
        <v>1</v>
      </c>
      <c r="L58" s="47">
        <f t="shared" si="75"/>
        <v>0.99999999990209221</v>
      </c>
      <c r="M58" s="47">
        <f t="shared" si="75"/>
        <v>4.4566413894324839E-6</v>
      </c>
      <c r="N58" s="47">
        <f t="shared" si="76"/>
        <v>1</v>
      </c>
      <c r="O58" s="30">
        <f>IFERROR(O16/$B58,0)</f>
        <v>1.0666666666666667E-6</v>
      </c>
      <c r="P58" s="30">
        <f>IFERROR(P16/$B58,0)</f>
        <v>1.3644722035813288E-5</v>
      </c>
      <c r="Q58" s="30">
        <f>IFERROR(Q16/$B58,0)</f>
        <v>11.21921097770155</v>
      </c>
      <c r="R58" s="30">
        <f t="shared" si="77"/>
        <v>9.8932664906439187E-7</v>
      </c>
      <c r="S58" s="38">
        <f>IFERROR(up_RadSpec!$I$16*S16,".")*$B$58</f>
        <v>46.875</v>
      </c>
      <c r="T58" s="38">
        <f>IFERROR(up_RadSpec!$G$16*T16,".")*$B$58</f>
        <v>3.664420562673615</v>
      </c>
      <c r="U58" s="38">
        <f>IFERROR(up_RadSpec!$F$16*U16,".")*$B$58</f>
        <v>4.4566413894324839E-6</v>
      </c>
      <c r="V58" s="47">
        <f t="shared" si="78"/>
        <v>1</v>
      </c>
      <c r="W58" s="47">
        <f t="shared" si="78"/>
        <v>0.97438098840463438</v>
      </c>
      <c r="X58" s="47">
        <f t="shared" si="78"/>
        <v>4.4566413894324839E-6</v>
      </c>
      <c r="Y58" s="47">
        <f t="shared" si="79"/>
        <v>1</v>
      </c>
      <c r="Z58" s="30">
        <f t="shared" ref="Z58:AD58" si="101">IFERROR(Z16/$B58,0)</f>
        <v>11.21921097770155</v>
      </c>
      <c r="AA58" s="30">
        <f t="shared" si="101"/>
        <v>19.981029810298111</v>
      </c>
      <c r="AB58" s="30">
        <f t="shared" si="101"/>
        <v>12.003402482423406</v>
      </c>
      <c r="AC58" s="30">
        <f t="shared" si="101"/>
        <v>12.065423242467727</v>
      </c>
      <c r="AD58" s="30">
        <f t="shared" si="101"/>
        <v>467.2</v>
      </c>
      <c r="AE58" s="38">
        <f>IFERROR(up_RadSpec!$F$16*AE16,".")*$B$58</f>
        <v>4.4566413894324839E-6</v>
      </c>
      <c r="AF58" s="38">
        <f>IFERROR(up_RadSpec!$M$16*AF16,".")*$B$58</f>
        <v>2.5023735250237347E-6</v>
      </c>
      <c r="AG58" s="38">
        <f>IFERROR(up_RadSpec!$N$16*AG16,".")*$B$58</f>
        <v>4.1654855840429458E-6</v>
      </c>
      <c r="AH58" s="38">
        <f>IFERROR(up_RadSpec!$O$16*AH16,".")*$B$58</f>
        <v>4.1440734398782323E-6</v>
      </c>
      <c r="AI58" s="38">
        <f>IFERROR(up_RadSpec!$K$16*AI16,".")*$B$58</f>
        <v>1.0702054794520548E-7</v>
      </c>
      <c r="AJ58" s="47">
        <f t="shared" si="81"/>
        <v>4.4566413894324839E-6</v>
      </c>
      <c r="AK58" s="47">
        <f t="shared" si="81"/>
        <v>2.5023735250237347E-6</v>
      </c>
      <c r="AL58" s="47">
        <f t="shared" si="81"/>
        <v>4.1654855840429458E-6</v>
      </c>
      <c r="AM58" s="47">
        <f t="shared" si="81"/>
        <v>4.1440734398782323E-6</v>
      </c>
      <c r="AN58" s="47">
        <f t="shared" si="81"/>
        <v>1.0702054794520548E-7</v>
      </c>
      <c r="AO58" s="30">
        <f t="shared" ref="AO58:AQ58" si="102">IFERROR(AO16/$B58,0)</f>
        <v>4.2666666666666668E-9</v>
      </c>
      <c r="AP58" s="30">
        <f t="shared" si="102"/>
        <v>9.344E-5</v>
      </c>
      <c r="AQ58" s="30">
        <f t="shared" si="102"/>
        <v>4.2664718506004295E-9</v>
      </c>
      <c r="AR58" s="38">
        <f>IFERROR(up_RadSpec!$G$16*AR16,".")*$B$58</f>
        <v>11718.75</v>
      </c>
      <c r="AS58" s="38">
        <f>IFERROR(up_RadSpec!$J$16*AS16,".")*$B$58</f>
        <v>0.53510273972602751</v>
      </c>
      <c r="AT58" s="47">
        <f t="shared" si="83"/>
        <v>1</v>
      </c>
      <c r="AU58" s="47">
        <f t="shared" si="83"/>
        <v>0.41439087826672238</v>
      </c>
      <c r="AV58" s="47">
        <f t="shared" si="84"/>
        <v>1</v>
      </c>
    </row>
    <row r="59" spans="1:48" x14ac:dyDescent="0.25">
      <c r="A59" s="29" t="s">
        <v>315</v>
      </c>
      <c r="B59" s="24">
        <v>1</v>
      </c>
      <c r="C59" s="109"/>
      <c r="D59" s="30">
        <f>IFERROR(D7/$B59,0)</f>
        <v>1.0666666666666667E-6</v>
      </c>
      <c r="E59" s="30">
        <f>IFERROR(E7/$B59,0)</f>
        <v>2.1694802535592709E-6</v>
      </c>
      <c r="F59" s="30">
        <f>IFERROR(F7/$B59,0)</f>
        <v>1.3470364963503645E-3</v>
      </c>
      <c r="G59" s="30">
        <f t="shared" si="32"/>
        <v>7.1470316972493746E-7</v>
      </c>
      <c r="H59" s="38">
        <f>IFERROR(up_RadSpec!$I$7*H7,".")*$B$59</f>
        <v>46.875</v>
      </c>
      <c r="I59" s="38">
        <f>IFERROR(up_RadSpec!$G$7*I7,".")*$B$59</f>
        <v>23.046994743542612</v>
      </c>
      <c r="J59" s="38">
        <f>IFERROR(up_RadSpec!$F$7*J7,".")*$B$59</f>
        <v>3.7118519160742172E-2</v>
      </c>
      <c r="K59" s="47">
        <f t="shared" si="75"/>
        <v>1</v>
      </c>
      <c r="L59" s="47">
        <f t="shared" si="75"/>
        <v>0.99999999990209221</v>
      </c>
      <c r="M59" s="47">
        <f t="shared" si="75"/>
        <v>3.6438071969723929E-2</v>
      </c>
      <c r="N59" s="47">
        <f t="shared" si="76"/>
        <v>1</v>
      </c>
      <c r="O59" s="30">
        <f>IFERROR(O7/$B59,0)</f>
        <v>1.0666666666666667E-6</v>
      </c>
      <c r="P59" s="30">
        <f>IFERROR(P7/$B59,0)</f>
        <v>1.3644722035813288E-5</v>
      </c>
      <c r="Q59" s="30">
        <f>IFERROR(Q7/$B59,0)</f>
        <v>1.3470364963503645E-3</v>
      </c>
      <c r="R59" s="30">
        <f t="shared" si="77"/>
        <v>9.8860066164469066E-7</v>
      </c>
      <c r="S59" s="38">
        <f>IFERROR(up_RadSpec!$I$7*S7,".")*$B$59</f>
        <v>46.875</v>
      </c>
      <c r="T59" s="38">
        <f>IFERROR(up_RadSpec!$G$7*T7,".")*$B$59</f>
        <v>3.664420562673615</v>
      </c>
      <c r="U59" s="38">
        <f>IFERROR(up_RadSpec!$F$7*U7,".")*$B$59</f>
        <v>3.7118519160742172E-2</v>
      </c>
      <c r="V59" s="47">
        <f t="shared" si="78"/>
        <v>1</v>
      </c>
      <c r="W59" s="47">
        <f t="shared" si="78"/>
        <v>0.97438098840463438</v>
      </c>
      <c r="X59" s="47">
        <f t="shared" si="78"/>
        <v>3.6438071969723929E-2</v>
      </c>
      <c r="Y59" s="47">
        <f t="shared" si="79"/>
        <v>1</v>
      </c>
      <c r="Z59" s="30">
        <f t="shared" ref="Z59:AD59" si="103">IFERROR(Z7/$B59,0)</f>
        <v>1.3470364963503645E-3</v>
      </c>
      <c r="AA59" s="30">
        <f t="shared" si="103"/>
        <v>2.1429691876750706E-3</v>
      </c>
      <c r="AB59" s="30">
        <f t="shared" si="103"/>
        <v>1.57E-3</v>
      </c>
      <c r="AC59" s="30">
        <f t="shared" si="103"/>
        <v>1.4442466086111781E-3</v>
      </c>
      <c r="AD59" s="30">
        <f t="shared" si="103"/>
        <v>3.6672880061115348E-3</v>
      </c>
      <c r="AE59" s="38">
        <f>IFERROR(up_RadSpec!$F$7*AE7,".")*$B$59</f>
        <v>3.7118519160742172E-2</v>
      </c>
      <c r="AF59" s="38">
        <f>IFERROR(up_RadSpec!$M$7*AF7,".")*$B$59</f>
        <v>2.3332113353550132E-2</v>
      </c>
      <c r="AG59" s="38">
        <f>IFERROR(up_RadSpec!$N$7*AG7,".")*$B$59</f>
        <v>3.1847133757961783E-2</v>
      </c>
      <c r="AH59" s="38">
        <f>IFERROR(up_RadSpec!$O$7*AH7,".")*$B$59</f>
        <v>3.4620126301062391E-2</v>
      </c>
      <c r="AI59" s="38">
        <f>IFERROR(up_RadSpec!$K$7*AI7,".")*$B$59</f>
        <v>1.3634053261340538E-2</v>
      </c>
      <c r="AJ59" s="47">
        <f t="shared" si="81"/>
        <v>3.6438071969723929E-2</v>
      </c>
      <c r="AK59" s="47">
        <f t="shared" si="81"/>
        <v>2.3062024257799574E-2</v>
      </c>
      <c r="AL59" s="47">
        <f t="shared" si="81"/>
        <v>3.1345354642560608E-2</v>
      </c>
      <c r="AM59" s="47">
        <f t="shared" si="81"/>
        <v>3.4027705962047627E-2</v>
      </c>
      <c r="AN59" s="47">
        <f t="shared" si="81"/>
        <v>1.3541530521139933E-2</v>
      </c>
      <c r="AO59" s="30">
        <f t="shared" ref="AO59:AQ59" si="104">IFERROR(AO7/$B59,0)</f>
        <v>4.2666666666666668E-9</v>
      </c>
      <c r="AP59" s="30">
        <f t="shared" si="104"/>
        <v>9.344E-5</v>
      </c>
      <c r="AQ59" s="30">
        <f t="shared" si="104"/>
        <v>4.2664718506004295E-9</v>
      </c>
      <c r="AR59" s="38">
        <f>IFERROR(up_RadSpec!$G$7*AR7,".")*$B$59</f>
        <v>11718.75</v>
      </c>
      <c r="AS59" s="38">
        <f>IFERROR(up_RadSpec!$J$7*AS7,".")*$B$59</f>
        <v>0.53510273972602751</v>
      </c>
      <c r="AT59" s="47">
        <f t="shared" si="83"/>
        <v>1</v>
      </c>
      <c r="AU59" s="47">
        <f t="shared" si="83"/>
        <v>0.41439087826672238</v>
      </c>
      <c r="AV59" s="47">
        <f t="shared" si="84"/>
        <v>1</v>
      </c>
    </row>
    <row r="60" spans="1:48" x14ac:dyDescent="0.25">
      <c r="A60" s="29" t="s">
        <v>316</v>
      </c>
      <c r="B60" s="33">
        <v>1.9000000000000001E-8</v>
      </c>
      <c r="C60" s="109"/>
      <c r="D60" s="30">
        <f>IFERROR(D12/$B60,0)</f>
        <v>56.140350877192979</v>
      </c>
      <c r="E60" s="30">
        <f>IFERROR(E12/$B60,0)</f>
        <v>114.18317123996161</v>
      </c>
      <c r="F60" s="30">
        <f>IFERROR(F12/$B60,0)</f>
        <v>55024.746772591847</v>
      </c>
      <c r="G60" s="30">
        <f t="shared" si="32"/>
        <v>37.610200269882192</v>
      </c>
      <c r="H60" s="38">
        <f>IFERROR(up_RadSpec!$I$12*H12,".")*$B$60</f>
        <v>8.9062500000000005E-7</v>
      </c>
      <c r="I60" s="38">
        <f>IFERROR(up_RadSpec!$G$12*I12,".")*$B$60</f>
        <v>4.3789290012730968E-7</v>
      </c>
      <c r="J60" s="38">
        <f>IFERROR(up_RadSpec!$F$12*J12,".")*$B$60</f>
        <v>9.0868205548753742E-10</v>
      </c>
      <c r="K60" s="47">
        <f t="shared" si="75"/>
        <v>8.9062500000000005E-7</v>
      </c>
      <c r="L60" s="47">
        <f t="shared" si="75"/>
        <v>4.3789290012730968E-7</v>
      </c>
      <c r="M60" s="47">
        <f t="shared" si="75"/>
        <v>9.0868205548753742E-10</v>
      </c>
      <c r="N60" s="47">
        <f t="shared" si="76"/>
        <v>1.3294265821827971E-6</v>
      </c>
      <c r="O60" s="30">
        <f>IFERROR(O12/$B60,0)</f>
        <v>56.140350877192979</v>
      </c>
      <c r="P60" s="30">
        <f>IFERROR(P12/$B60,0)</f>
        <v>718.14326504280461</v>
      </c>
      <c r="Q60" s="30">
        <f>IFERROR(Q12/$B60,0)</f>
        <v>55024.746772591847</v>
      </c>
      <c r="R60" s="30">
        <f t="shared" si="77"/>
        <v>52.020601216381628</v>
      </c>
      <c r="S60" s="38">
        <f>IFERROR(up_RadSpec!$I$12*S12,".")*$B$60</f>
        <v>8.9062500000000005E-7</v>
      </c>
      <c r="T60" s="38">
        <f>IFERROR(up_RadSpec!$G$12*T12,".")*$B$60</f>
        <v>6.9623990690798692E-8</v>
      </c>
      <c r="U60" s="38">
        <f>IFERROR(up_RadSpec!$F$12*U12,".")*$B$60</f>
        <v>9.0868205548753742E-10</v>
      </c>
      <c r="V60" s="47">
        <f t="shared" si="78"/>
        <v>8.9062500000000005E-7</v>
      </c>
      <c r="W60" s="47">
        <f t="shared" si="78"/>
        <v>6.9623990690798692E-8</v>
      </c>
      <c r="X60" s="47">
        <f t="shared" si="78"/>
        <v>9.0868205548753742E-10</v>
      </c>
      <c r="Y60" s="47">
        <f t="shared" si="79"/>
        <v>9.611576727462862E-7</v>
      </c>
      <c r="Z60" s="30">
        <f t="shared" ref="Z60:AD60" si="105">IFERROR(Z12/$B60,0)</f>
        <v>55024.746772591847</v>
      </c>
      <c r="AA60" s="30">
        <f t="shared" si="105"/>
        <v>98717.924815581297</v>
      </c>
      <c r="AB60" s="30">
        <f t="shared" si="105"/>
        <v>71579.146664407948</v>
      </c>
      <c r="AC60" s="30">
        <f t="shared" si="105"/>
        <v>63214.36975449053</v>
      </c>
      <c r="AD60" s="30">
        <f t="shared" si="105"/>
        <v>170411.74364482632</v>
      </c>
      <c r="AE60" s="38">
        <f>IFERROR(up_RadSpec!$F$12*AE12,".")*$B$60</f>
        <v>9.0868205548753742E-10</v>
      </c>
      <c r="AF60" s="38">
        <f>IFERROR(up_RadSpec!$M$12*AF12,".")*$B$60</f>
        <v>5.0649362912973405E-10</v>
      </c>
      <c r="AG60" s="38">
        <f>IFERROR(up_RadSpec!$N$12*AG12,".")*$B$60</f>
        <v>6.9852746686713487E-10</v>
      </c>
      <c r="AH60" s="38">
        <f>IFERROR(up_RadSpec!$O$12*AH12,".")*$B$60</f>
        <v>7.9095940043676836E-10</v>
      </c>
      <c r="AI60" s="38">
        <f>IFERROR(up_RadSpec!$K$12*AI12,".")*$B$60</f>
        <v>2.9340700899235235E-10</v>
      </c>
      <c r="AJ60" s="47">
        <f t="shared" si="81"/>
        <v>9.0868205548753742E-10</v>
      </c>
      <c r="AK60" s="47">
        <f t="shared" si="81"/>
        <v>5.0649362912973405E-10</v>
      </c>
      <c r="AL60" s="47">
        <f t="shared" si="81"/>
        <v>6.9852746686713487E-10</v>
      </c>
      <c r="AM60" s="47">
        <f t="shared" si="81"/>
        <v>7.9095940043676836E-10</v>
      </c>
      <c r="AN60" s="47">
        <f t="shared" si="81"/>
        <v>2.9340700899235235E-10</v>
      </c>
      <c r="AO60" s="30">
        <f t="shared" ref="AO60:AQ60" si="106">IFERROR(AO12/$B60,0)</f>
        <v>0.22456140350877193</v>
      </c>
      <c r="AP60" s="30">
        <f t="shared" si="106"/>
        <v>4917.894736842105</v>
      </c>
      <c r="AQ60" s="30">
        <f t="shared" si="106"/>
        <v>0.22455115003160153</v>
      </c>
      <c r="AR60" s="38">
        <f>IFERROR(up_RadSpec!$G$12*AR12,".")*$B$60</f>
        <v>2.2265625000000001E-4</v>
      </c>
      <c r="AS60" s="38">
        <f>IFERROR(up_RadSpec!$J$12*AS12,".")*$B$60</f>
        <v>1.0166952054794524E-8</v>
      </c>
      <c r="AT60" s="47">
        <f t="shared" si="83"/>
        <v>2.2265625000000001E-4</v>
      </c>
      <c r="AU60" s="47">
        <f t="shared" si="83"/>
        <v>1.0166952054794524E-8</v>
      </c>
      <c r="AV60" s="47">
        <f t="shared" si="84"/>
        <v>2.226664169520548E-4</v>
      </c>
    </row>
    <row r="61" spans="1:48" x14ac:dyDescent="0.25">
      <c r="A61" s="29" t="s">
        <v>317</v>
      </c>
      <c r="B61" s="24">
        <v>1</v>
      </c>
      <c r="C61" s="109"/>
      <c r="D61" s="30">
        <f>IFERROR(D18/$B61,0)</f>
        <v>1.0666666666666667E-6</v>
      </c>
      <c r="E61" s="30">
        <f>IFERROR(E18/$B61,0)</f>
        <v>2.1694802535592709E-6</v>
      </c>
      <c r="F61" s="30">
        <f>IFERROR(F18/$B61,0)</f>
        <v>5.2534687306501557E-4</v>
      </c>
      <c r="G61" s="30">
        <f t="shared" si="32"/>
        <v>7.1411055362236553E-7</v>
      </c>
      <c r="H61" s="38">
        <f>IFERROR(up_RadSpec!$I$18*H18,".")*$B$61</f>
        <v>46.875</v>
      </c>
      <c r="I61" s="38">
        <f>IFERROR(up_RadSpec!$G$18*I18,".")*$B$61</f>
        <v>23.046994743542612</v>
      </c>
      <c r="J61" s="38">
        <f>IFERROR(up_RadSpec!$F$18*J18,".")*$B$61</f>
        <v>9.517521196668878E-2</v>
      </c>
      <c r="K61" s="47">
        <f t="shared" si="75"/>
        <v>1</v>
      </c>
      <c r="L61" s="47">
        <f t="shared" si="75"/>
        <v>0.99999999990209221</v>
      </c>
      <c r="M61" s="47">
        <f t="shared" si="75"/>
        <v>9.0786384594359615E-2</v>
      </c>
      <c r="N61" s="47">
        <f t="shared" si="76"/>
        <v>1</v>
      </c>
      <c r="O61" s="30">
        <f>IFERROR(O18/$B61,0)</f>
        <v>1.0666666666666667E-6</v>
      </c>
      <c r="P61" s="30">
        <f>IFERROR(P18/$B61,0)</f>
        <v>1.3644722035813288E-5</v>
      </c>
      <c r="Q61" s="30">
        <f>IFERROR(Q18/$B61,0)</f>
        <v>5.2534687306501557E-4</v>
      </c>
      <c r="R61" s="30">
        <f t="shared" si="77"/>
        <v>9.8746715037551186E-7</v>
      </c>
      <c r="S61" s="38">
        <f>IFERROR(up_RadSpec!$I$18*S18,".")*$B$61</f>
        <v>46.875</v>
      </c>
      <c r="T61" s="38">
        <f>IFERROR(up_RadSpec!$G$18*T18,".")*$B$61</f>
        <v>3.664420562673615</v>
      </c>
      <c r="U61" s="38">
        <f>IFERROR(up_RadSpec!$F$18*U18,".")*$B$61</f>
        <v>9.517521196668878E-2</v>
      </c>
      <c r="V61" s="47">
        <f t="shared" si="78"/>
        <v>1</v>
      </c>
      <c r="W61" s="47">
        <f t="shared" si="78"/>
        <v>0.97438098840463438</v>
      </c>
      <c r="X61" s="47">
        <f t="shared" si="78"/>
        <v>9.0786384594359615E-2</v>
      </c>
      <c r="Y61" s="47">
        <f t="shared" si="79"/>
        <v>1</v>
      </c>
      <c r="Z61" s="30">
        <f t="shared" ref="Z61:AD61" si="107">IFERROR(Z18/$B61,0)</f>
        <v>5.2534687306501557E-4</v>
      </c>
      <c r="AA61" s="30">
        <f t="shared" si="107"/>
        <v>1.0395089707271011E-3</v>
      </c>
      <c r="AB61" s="30">
        <f t="shared" si="107"/>
        <v>7.2796352997210319E-4</v>
      </c>
      <c r="AC61" s="30">
        <f t="shared" si="107"/>
        <v>6.0313093172772764E-4</v>
      </c>
      <c r="AD61" s="30">
        <f t="shared" si="107"/>
        <v>1.7669743589743586E-3</v>
      </c>
      <c r="AE61" s="38">
        <f>IFERROR(up_RadSpec!$F$18*AE18,".")*$B$61</f>
        <v>9.517521196668878E-2</v>
      </c>
      <c r="AF61" s="38">
        <f>IFERROR(up_RadSpec!$M$18*AF18,".")*$B$61</f>
        <v>4.8099633007521528E-2</v>
      </c>
      <c r="AG61" s="38">
        <f>IFERROR(up_RadSpec!$N$18*AG18,".")*$B$61</f>
        <v>6.8684759526230779E-2</v>
      </c>
      <c r="AH61" s="38">
        <f>IFERROR(up_RadSpec!$O$18*AH18,".")*$B$61</f>
        <v>8.2900739076289975E-2</v>
      </c>
      <c r="AI61" s="38">
        <f>IFERROR(up_RadSpec!$K$18*AI18,".")*$B$61</f>
        <v>2.8296958439749251E-2</v>
      </c>
      <c r="AJ61" s="47">
        <f t="shared" si="81"/>
        <v>9.0786384594359615E-2</v>
      </c>
      <c r="AK61" s="47">
        <f t="shared" si="81"/>
        <v>4.6961171777675448E-2</v>
      </c>
      <c r="AL61" s="47">
        <f t="shared" si="81"/>
        <v>6.6379051196719496E-2</v>
      </c>
      <c r="AM61" s="47">
        <f t="shared" si="81"/>
        <v>7.955749334072848E-2</v>
      </c>
      <c r="AN61" s="47">
        <f t="shared" si="81"/>
        <v>2.7900349260531421E-2</v>
      </c>
      <c r="AO61" s="30">
        <f t="shared" ref="AO61:AQ61" si="108">IFERROR(AO18/$B61,0)</f>
        <v>4.2666666666666668E-9</v>
      </c>
      <c r="AP61" s="30">
        <f t="shared" si="108"/>
        <v>9.344E-5</v>
      </c>
      <c r="AQ61" s="30">
        <f t="shared" si="108"/>
        <v>4.2664718506004295E-9</v>
      </c>
      <c r="AR61" s="38">
        <f>IFERROR(up_RadSpec!$G$18*AR18,".")*$B$61</f>
        <v>11718.75</v>
      </c>
      <c r="AS61" s="38">
        <f>IFERROR(up_RadSpec!$J$18*AS18,".")*$B$61</f>
        <v>0.53510273972602751</v>
      </c>
      <c r="AT61" s="47">
        <f t="shared" si="83"/>
        <v>1</v>
      </c>
      <c r="AU61" s="47">
        <f t="shared" si="83"/>
        <v>0.41439087826672238</v>
      </c>
      <c r="AV61" s="47">
        <f t="shared" si="84"/>
        <v>1</v>
      </c>
    </row>
    <row r="62" spans="1:48" x14ac:dyDescent="0.25">
      <c r="A62" s="29" t="s">
        <v>318</v>
      </c>
      <c r="B62" s="24">
        <v>1.339E-6</v>
      </c>
      <c r="C62" s="109"/>
      <c r="D62" s="30">
        <f>IFERROR(D27/$B62,0)</f>
        <v>0.79661438884739855</v>
      </c>
      <c r="E62" s="30">
        <f>IFERROR(E27/$B62,0)</f>
        <v>1.6202242371615168</v>
      </c>
      <c r="F62" s="30">
        <f>IFERROR(F27/$B62,0)</f>
        <v>643.88138511865475</v>
      </c>
      <c r="G62" s="30">
        <f t="shared" ref="G62" si="109">IFERROR(SUM(D62:F62),0)</f>
        <v>646.29822374466369</v>
      </c>
      <c r="H62" s="38">
        <f>IFERROR(up_RadSpec!$I$27*H27,".")*$B$62</f>
        <v>6.2765624999999996E-5</v>
      </c>
      <c r="I62" s="38">
        <f>IFERROR(up_RadSpec!$G$27*I27,".")*$B$62</f>
        <v>3.085992596160356E-5</v>
      </c>
      <c r="J62" s="38">
        <f>IFERROR(up_RadSpec!$F$27*J27,".")*$B$62</f>
        <v>7.7654054233585229E-8</v>
      </c>
      <c r="K62" s="47">
        <f t="shared" si="75"/>
        <v>6.2765624999999996E-5</v>
      </c>
      <c r="L62" s="47">
        <f t="shared" si="75"/>
        <v>3.085992596160356E-5</v>
      </c>
      <c r="M62" s="47">
        <f t="shared" si="75"/>
        <v>7.7654054233585229E-8</v>
      </c>
      <c r="N62" s="47">
        <f t="shared" si="76"/>
        <v>9.3703205015837146E-5</v>
      </c>
      <c r="O62" s="30">
        <f>IFERROR(O27/$B62,0)</f>
        <v>0.79661438884739855</v>
      </c>
      <c r="P62" s="30">
        <f>IFERROR(P27/$B62,0)</f>
        <v>10.190233036455032</v>
      </c>
      <c r="Q62" s="30">
        <f>IFERROR(Q27/$B62,0)</f>
        <v>643.88138511865475</v>
      </c>
      <c r="R62" s="30">
        <f t="shared" ref="R62" si="110">IFERROR(SUM(O62:Q62),0)</f>
        <v>654.86823254395722</v>
      </c>
      <c r="S62" s="38">
        <f>IFERROR(up_RadSpec!$I$27*S27,".")*$B$62</f>
        <v>6.2765624999999996E-5</v>
      </c>
      <c r="T62" s="38">
        <f>IFERROR(up_RadSpec!$G$27*T27,".")*$B$62</f>
        <v>4.9066591334199706E-6</v>
      </c>
      <c r="U62" s="38">
        <f>IFERROR(up_RadSpec!$F$27*U27,".")*$B$62</f>
        <v>7.7654054233585229E-8</v>
      </c>
      <c r="V62" s="47">
        <f t="shared" si="78"/>
        <v>6.2765624999999996E-5</v>
      </c>
      <c r="W62" s="47">
        <f t="shared" si="78"/>
        <v>4.9066591334199706E-6</v>
      </c>
      <c r="X62" s="47">
        <f t="shared" si="78"/>
        <v>7.7654054233585229E-8</v>
      </c>
      <c r="Y62" s="47">
        <f t="shared" si="79"/>
        <v>6.774993818765356E-5</v>
      </c>
      <c r="Z62" s="30">
        <f t="shared" ref="Z62:AD62" si="111">IFERROR(Z27/$B62,0)</f>
        <v>643.88138511865475</v>
      </c>
      <c r="AA62" s="30">
        <f t="shared" si="111"/>
        <v>1909.8620337250904</v>
      </c>
      <c r="AB62" s="30">
        <f t="shared" si="111"/>
        <v>1170.8890414392033</v>
      </c>
      <c r="AC62" s="30">
        <f t="shared" si="111"/>
        <v>851.77654336466628</v>
      </c>
      <c r="AD62" s="30">
        <f t="shared" si="111"/>
        <v>5974.0149031628007</v>
      </c>
      <c r="AE62" s="38">
        <f>IFERROR(up_RadSpec!$F$27*AE27,".")*$B$62</f>
        <v>7.7654054233585229E-8</v>
      </c>
      <c r="AF62" s="38">
        <f>IFERROR(up_RadSpec!$M$27*AF27,".")*$B$62</f>
        <v>2.6179901541095882E-8</v>
      </c>
      <c r="AG62" s="38">
        <f>IFERROR(up_RadSpec!$N$27*AG27,".")*$B$62</f>
        <v>4.2702594550327581E-8</v>
      </c>
      <c r="AH62" s="38">
        <f>IFERROR(up_RadSpec!$O$27*AH27,".")*$B$62</f>
        <v>5.8700841657943836E-8</v>
      </c>
      <c r="AI62" s="38">
        <f>IFERROR(up_RadSpec!$K$27*AI27,".")*$B$62</f>
        <v>8.3695807276156417E-9</v>
      </c>
      <c r="AJ62" s="47">
        <f t="shared" si="81"/>
        <v>7.7654054233585229E-8</v>
      </c>
      <c r="AK62" s="47">
        <f t="shared" si="81"/>
        <v>2.6179901541095882E-8</v>
      </c>
      <c r="AL62" s="47">
        <f t="shared" si="81"/>
        <v>4.2702594550327581E-8</v>
      </c>
      <c r="AM62" s="47">
        <f t="shared" si="81"/>
        <v>5.8700841657943836E-8</v>
      </c>
      <c r="AN62" s="47">
        <f t="shared" si="81"/>
        <v>8.3695807276156417E-9</v>
      </c>
      <c r="AO62" s="30">
        <f t="shared" ref="AO62:AQ62" si="112">IFERROR(AO27/$B62,0)</f>
        <v>3.1864575553895943E-3</v>
      </c>
      <c r="AP62" s="30">
        <f t="shared" si="112"/>
        <v>69.783420463032115</v>
      </c>
      <c r="AQ62" s="30">
        <f t="shared" si="112"/>
        <v>3.1863120616881474E-3</v>
      </c>
      <c r="AR62" s="38">
        <f>IFERROR(up_RadSpec!$G$27*AR27,".")*$B$62</f>
        <v>1.5691406250000001E-2</v>
      </c>
      <c r="AS62" s="38">
        <f>IFERROR(up_RadSpec!$J$27*AS27,".")*$B$62</f>
        <v>7.1650256849315088E-7</v>
      </c>
      <c r="AT62" s="47">
        <f t="shared" si="83"/>
        <v>1.5568937540448191E-2</v>
      </c>
      <c r="AU62" s="47">
        <f t="shared" si="83"/>
        <v>7.1650256849315088E-7</v>
      </c>
      <c r="AV62" s="47">
        <f t="shared" si="84"/>
        <v>1.5569642887580337E-2</v>
      </c>
    </row>
    <row r="63" spans="1:48" x14ac:dyDescent="0.25">
      <c r="A63" s="26" t="s">
        <v>35</v>
      </c>
      <c r="B63" s="26" t="s">
        <v>289</v>
      </c>
      <c r="C63" s="110"/>
      <c r="D63" s="27">
        <f>1/SUM(1/D64,1/D65,1/D66,1/D67,1/D68,1/D69,1/D70,1/D71,1/D72,1/D73,1/D74,1/D75,1/D76)</f>
        <v>1.3333331070000386E-7</v>
      </c>
      <c r="E63" s="27">
        <f t="shared" ref="E63:G63" si="113">1/SUM(1/E64,1/E65,1/E66,1/E67,1/E68,1/E69,1/E70,1/E71,1/E72,1/E73,1/E74,1/E75,1/E76)</f>
        <v>2.711849856612575E-7</v>
      </c>
      <c r="F63" s="27">
        <f>1/SUM(1/F64,1/F66,1/F68,1/F69,1/F70,1/F71,1/F72,1/F73,1/F74,1/F75,1/F76)</f>
        <v>1.056294697815615E-4</v>
      </c>
      <c r="G63" s="28">
        <f t="shared" si="113"/>
        <v>8.9309731322721115E-8</v>
      </c>
      <c r="H63" s="45"/>
      <c r="I63" s="45"/>
      <c r="J63" s="45"/>
      <c r="K63" s="46">
        <f>IFERROR(IF(SUM(H64:H76)&gt;0.01,1-EXP(-SUM(H64:H76)),SUM(H64:H76)),".")</f>
        <v>1</v>
      </c>
      <c r="L63" s="46">
        <f>IFERROR(IF(SUM(I64:I76)&gt;0.01,1-EXP(-SUM(I64:I76)),SUM(I64:I76)),".")</f>
        <v>1</v>
      </c>
      <c r="M63" s="46">
        <f>IFERROR(IF(SUM(J64:J76)&gt;0.01,1-EXP(-SUM(J64:J76)),SUM(J64:J76)),".")</f>
        <v>0.37708969917802881</v>
      </c>
      <c r="N63" s="46">
        <f>IFERROR(IF(SUM(H64:J76)&gt;0.01,1-EXP(-SUM(H64:J76)),SUM(H64:J76)),".")</f>
        <v>1</v>
      </c>
      <c r="O63" s="27">
        <f>1/SUM(1/O64,1/O65,1/O66,1/O67,1/O68,1/O69,1/O70,1/O71,1/O72,1/O73,1/O74,1/O75,1/O76)</f>
        <v>1.3333331070000386E-7</v>
      </c>
      <c r="P63" s="27">
        <f t="shared" ref="P63" si="114">1/SUM(1/P64,1/P65,1/P66,1/P67,1/P68,1/P69,1/P70,1/P71,1/P72,1/P73,1/P74,1/P75,1/P76)</f>
        <v>1.7055899649527647E-6</v>
      </c>
      <c r="Q63" s="27">
        <f>1/SUM(1/Q64,1/Q66,1/Q68,1/Q69,1/Q70,1/Q71,1/Q72,1/Q73,1/Q74,1/Q75,1/Q76)</f>
        <v>1.056294697815615E-4</v>
      </c>
      <c r="R63" s="28">
        <f t="shared" ref="R63" si="115">1/SUM(1/R64,1/R65,1/R66,1/R67,1/R68,1/R69,1/R70,1/R71,1/R72,1/R73,1/R74,1/R75,1/R76)</f>
        <v>1.2352120845151229E-7</v>
      </c>
      <c r="S63" s="45"/>
      <c r="T63" s="45"/>
      <c r="U63" s="45"/>
      <c r="V63" s="46">
        <f>IFERROR(IF(SUM(S64:S76)&gt;0.01,1-EXP(-SUM(S64:S76)),SUM(S64:S76)),".")</f>
        <v>1</v>
      </c>
      <c r="W63" s="46">
        <f>IFERROR(IF(SUM(T64:T76)&gt;0.01,1-EXP(-SUM(T64:T76)),SUM(T64:T76)),".")</f>
        <v>0.99999999999981448</v>
      </c>
      <c r="X63" s="46">
        <f>IFERROR(IF(SUM(U64:U76)&gt;0.01,1-EXP(-SUM(U64:U76)),SUM(U64:U76)),".")</f>
        <v>0.37708969917802881</v>
      </c>
      <c r="Y63" s="46">
        <f>IFERROR(IF(SUM(S64:U76)&gt;0.01,1-EXP(-SUM(S64:U76)),SUM(S64:U76)),".")</f>
        <v>1</v>
      </c>
      <c r="Z63" s="27">
        <f t="shared" ref="Z63:AD63" si="116">1/SUM(1/Z64,1/Z66,1/Z68,1/Z69,1/Z70,1/Z71,1/Z72,1/Z73,1/Z74,1/Z75,1/Z76)</f>
        <v>1.056294697815615E-4</v>
      </c>
      <c r="AA63" s="27">
        <f t="shared" si="116"/>
        <v>2.0122317012080112E-4</v>
      </c>
      <c r="AB63" s="27">
        <f t="shared" si="116"/>
        <v>1.4329558094577455E-4</v>
      </c>
      <c r="AC63" s="27">
        <f t="shared" si="116"/>
        <v>1.2217942940979002E-4</v>
      </c>
      <c r="AD63" s="27">
        <f t="shared" si="116"/>
        <v>3.5330521001336585E-4</v>
      </c>
      <c r="AE63" s="45"/>
      <c r="AF63" s="45"/>
      <c r="AG63" s="45"/>
      <c r="AH63" s="45"/>
      <c r="AI63" s="45"/>
      <c r="AJ63" s="46">
        <f>IFERROR(IF(SUM(AE64:AE76)&gt;0.01,1-EXP(-SUM(AE64:AE76)),SUM(AE64:AE76)),".")</f>
        <v>0.37708969917802881</v>
      </c>
      <c r="AK63" s="46">
        <f t="shared" ref="AK63:AN63" si="117">IFERROR(IF(SUM(AF64:AF76)&gt;0.01,1-EXP(-SUM(AF64:AF76)),SUM(AF64:AF76)),".")</f>
        <v>0.22001479811051905</v>
      </c>
      <c r="AL63" s="46">
        <f t="shared" si="117"/>
        <v>0.29455686497037503</v>
      </c>
      <c r="AM63" s="46">
        <f t="shared" si="117"/>
        <v>0.33584132614070872</v>
      </c>
      <c r="AN63" s="46">
        <f t="shared" si="117"/>
        <v>0.13196279141177558</v>
      </c>
      <c r="AO63" s="27">
        <f t="shared" ref="AO63:AQ63" si="118">1/SUM(1/AO64,1/AO65,1/AO66,1/AO67,1/AO68,1/AO69,1/AO70,1/AO71,1/AO72,1/AO73,1/AO74,1/AO75,1/AO76)</f>
        <v>5.3333324280001539E-10</v>
      </c>
      <c r="AP63" s="27">
        <f t="shared" si="118"/>
        <v>1.1679998017320336E-5</v>
      </c>
      <c r="AQ63" s="28">
        <f t="shared" si="118"/>
        <v>5.3330889079586946E-10</v>
      </c>
      <c r="AR63" s="45"/>
      <c r="AS63" s="45"/>
      <c r="AT63" s="46">
        <f>IFERROR(IF(SUM(AR64:AR76)&gt;0.01,1-EXP(-SUM(AR64:AR76)),SUM(AR64:AR76)),".")</f>
        <v>1</v>
      </c>
      <c r="AU63" s="46">
        <f>IFERROR(IF(SUM(AS64:AS76)&gt;0.01,1-EXP(-SUM(AS64:AS76)),SUM(AS64:AS76)),".")</f>
        <v>0.98616872082035845</v>
      </c>
      <c r="AV63" s="46">
        <f>IFERROR(IF(SUM(AR64:AS76)&gt;0.01,1-EXP(-SUM(AR64:AS76)),SUM(AR64:AS76)),".")</f>
        <v>1</v>
      </c>
    </row>
    <row r="64" spans="1:48" x14ac:dyDescent="0.25">
      <c r="A64" s="29" t="s">
        <v>306</v>
      </c>
      <c r="B64" s="34">
        <v>1</v>
      </c>
      <c r="C64" s="2"/>
      <c r="D64" s="30">
        <f>IFERROR(D25/$B50,0)</f>
        <v>1.0666666666666667E-6</v>
      </c>
      <c r="E64" s="30">
        <f>IFERROR(E25/$B50,0)</f>
        <v>2.1694802535592709E-6</v>
      </c>
      <c r="F64" s="30">
        <f>IFERROR(F25/$B50,0)</f>
        <v>7.5052208835341377E-4</v>
      </c>
      <c r="G64" s="30">
        <f t="shared" ref="G64:G76" si="119">IF(AND(D64&lt;&gt;0,E64&lt;&gt;0,F64&lt;&gt;0),1/((1/D64)+(1/E64)+(1/F64)),IF(AND(D64&lt;&gt;0,E64&lt;&gt;0,F64=0), 1/((1/D64)+(1/E64)),IF(AND(D64&lt;&gt;0,E64=0,F64&lt;&gt;0),1/((1/D64)+(1/F64)),IF(AND(D64=0,E64&lt;&gt;0,F64&lt;&gt;0),1/((1/E64)+(1/F64)),IF(AND(D64&lt;&gt;0,E64=0,F64=0),1/((1/D64)),IF(AND(D64=0,E64&lt;&gt;0,F64=0),1/((1/E64)),IF(AND(D64=0,E64=0,F64&lt;&gt;0),1/((1/F64)),IF(AND(D64=0,E64=0,F64=0),0))))))))</f>
        <v>7.1440190629939155E-7</v>
      </c>
      <c r="H64" s="38">
        <f>IFERROR(up_RadSpec!$I$25*H25,".")*$B$64</f>
        <v>46.875</v>
      </c>
      <c r="I64" s="38">
        <f>IFERROR(up_RadSpec!$G$25*I25,".")*$B$64</f>
        <v>23.046994743542612</v>
      </c>
      <c r="J64" s="38">
        <f>IFERROR(up_RadSpec!$F$25*J25,".")*$B$64</f>
        <v>6.6620291095890405E-2</v>
      </c>
      <c r="K64" s="47">
        <f t="shared" ref="K64:M76" si="120">IFERROR(IF(H64&gt;0.01,1-EXP(-H64),H64),".")</f>
        <v>1</v>
      </c>
      <c r="L64" s="47">
        <f t="shared" si="120"/>
        <v>0.99999999990209221</v>
      </c>
      <c r="M64" s="47">
        <f t="shared" si="120"/>
        <v>6.4449629291976285E-2</v>
      </c>
      <c r="N64" s="47">
        <f t="shared" ref="N64:N76" si="121">IFERROR(IF(SUM(H64:J64)&gt;0.01,1-EXP(-SUM(H64:J64)),SUM(H64:J64)),".")</f>
        <v>1</v>
      </c>
      <c r="O64" s="30">
        <f>IFERROR(O25/$B50,0)</f>
        <v>1.0666666666666667E-6</v>
      </c>
      <c r="P64" s="30">
        <f>IFERROR(P25/$B50,0)</f>
        <v>1.3644722035813288E-5</v>
      </c>
      <c r="Q64" s="30">
        <f>IFERROR(Q25/$B50,0)</f>
        <v>7.5052208835341377E-4</v>
      </c>
      <c r="R64" s="30">
        <f t="shared" ref="R64:R76" si="122">IF(AND(O64&lt;&gt;0,P64&lt;&gt;0,Q64&lt;&gt;0),1/((1/O64)+(1/P64)+(1/Q64)),IF(AND(O64&lt;&gt;0,P64&lt;&gt;0,Q64=0), 1/((1/O64)+(1/P64)),IF(AND(O64&lt;&gt;0,P64=0,Q64&lt;&gt;0),1/((1/O64)+(1/Q64)),IF(AND(O64=0,P64&lt;&gt;0,Q64&lt;&gt;0),1/((1/P64)+(1/Q64)),IF(AND(O64&lt;&gt;0,P64=0,Q64=0),1/((1/O64)),IF(AND(O64=0,P64&lt;&gt;0,Q64=0),1/((1/P64)),IF(AND(O64=0,P64=0,Q64&lt;&gt;0),1/((1/Q64)),IF(AND(O64=0,P64=0,Q64=0),0))))))))</f>
        <v>9.8802433773626516E-7</v>
      </c>
      <c r="S64" s="38">
        <f>IFERROR(up_RadSpec!$I$25*S25,".")*$B$64</f>
        <v>46.875</v>
      </c>
      <c r="T64" s="38">
        <f>IFERROR(up_RadSpec!$G$25*T25,".")*$B$64</f>
        <v>3.664420562673615</v>
      </c>
      <c r="U64" s="38">
        <f>IFERROR(up_RadSpec!$F$25*U25,".")*$B$64</f>
        <v>6.6620291095890405E-2</v>
      </c>
      <c r="V64" s="47">
        <f t="shared" ref="V64:X76" si="123">IFERROR(IF(S64&gt;0.01,1-EXP(-S64),S64),".")</f>
        <v>1</v>
      </c>
      <c r="W64" s="47">
        <f t="shared" si="123"/>
        <v>0.97438098840463438</v>
      </c>
      <c r="X64" s="47">
        <f t="shared" si="123"/>
        <v>6.4449629291976285E-2</v>
      </c>
      <c r="Y64" s="47">
        <f t="shared" ref="Y64:Y76" si="124">IFERROR(IF(SUM(S64:U64)&gt;0.01,1-EXP(-SUM(S64:U64)),SUM(S64:U64)),".")</f>
        <v>1</v>
      </c>
      <c r="Z64" s="30">
        <f t="shared" ref="Z64:AD64" si="125">IFERROR(Z25/$B50,0)</f>
        <v>7.5052208835341377E-4</v>
      </c>
      <c r="AA64" s="30">
        <f t="shared" si="125"/>
        <v>1.3440293174530457E-3</v>
      </c>
      <c r="AB64" s="30">
        <f t="shared" si="125"/>
        <v>9.6407951598962858E-4</v>
      </c>
      <c r="AC64" s="30">
        <f t="shared" si="125"/>
        <v>8.6089873967840058E-4</v>
      </c>
      <c r="AD64" s="30">
        <f t="shared" si="125"/>
        <v>2.4096969696969697E-3</v>
      </c>
      <c r="AE64" s="38">
        <f>IFERROR(up_RadSpec!$F$25*AE25,".")*$B$64</f>
        <v>6.6620291095890405E-2</v>
      </c>
      <c r="AF64" s="38">
        <f>IFERROR(up_RadSpec!$M$25*AF25,".")*$B$64</f>
        <v>3.7201569452927338E-2</v>
      </c>
      <c r="AG64" s="38">
        <f>IFERROR(up_RadSpec!$N$25*AG25,".")*$B$64</f>
        <v>5.1862941978053502E-2</v>
      </c>
      <c r="AH64" s="38">
        <f>IFERROR(up_RadSpec!$O$25*AH25,".")*$B$64</f>
        <v>5.8078839816490056E-2</v>
      </c>
      <c r="AI64" s="38">
        <f>IFERROR(up_RadSpec!$K$25*AI25,".")*$B$64</f>
        <v>2.0749496981891352E-2</v>
      </c>
      <c r="AJ64" s="47">
        <f t="shared" ref="AJ64:AN76" si="126">IFERROR(IF(AE64&gt;0.01,1-EXP(-AE64),AE64),".")</f>
        <v>6.4449629291976285E-2</v>
      </c>
      <c r="AK64" s="47">
        <f t="shared" si="126"/>
        <v>3.6518092746464892E-2</v>
      </c>
      <c r="AL64" s="47">
        <f t="shared" si="126"/>
        <v>5.0541011103512279E-2</v>
      </c>
      <c r="AM64" s="47">
        <f t="shared" si="126"/>
        <v>5.6424446819234975E-2</v>
      </c>
      <c r="AN64" s="47">
        <f t="shared" si="126"/>
        <v>2.0535707398103176E-2</v>
      </c>
      <c r="AO64" s="30">
        <f t="shared" ref="AO64:AQ64" si="127">IFERROR(AO25/$B50,0)</f>
        <v>4.2666666666666668E-9</v>
      </c>
      <c r="AP64" s="30">
        <f t="shared" si="127"/>
        <v>9.344E-5</v>
      </c>
      <c r="AQ64" s="30">
        <f t="shared" si="127"/>
        <v>4.2664718506004295E-9</v>
      </c>
      <c r="AR64" s="38">
        <f>IFERROR(up_RadSpec!$G$25*AR25,".")*$B$64</f>
        <v>11718.75</v>
      </c>
      <c r="AS64" s="38">
        <f>IFERROR(up_RadSpec!$J$25*AS25,".")*$B$64</f>
        <v>0.53510273972602751</v>
      </c>
      <c r="AT64" s="47">
        <f t="shared" ref="AT64:AU76" si="128">IFERROR(IF(AR64&gt;0.01,1-EXP(-AR64),AR64),".")</f>
        <v>1</v>
      </c>
      <c r="AU64" s="47">
        <f t="shared" si="128"/>
        <v>0.41439087826672238</v>
      </c>
      <c r="AV64" s="47">
        <f t="shared" ref="AV64:AV76" si="129">IFERROR(IF(SUM(AR64:AS64)&gt;0.01,1-EXP(-SUM(AR64:AS64)),SUM(AR64:AS64)),".")</f>
        <v>1</v>
      </c>
    </row>
    <row r="65" spans="1:48" x14ac:dyDescent="0.25">
      <c r="A65" s="29" t="s">
        <v>307</v>
      </c>
      <c r="B65" s="34">
        <v>1</v>
      </c>
      <c r="C65" s="2"/>
      <c r="D65" s="30">
        <f>IFERROR(D21/$B51,0)</f>
        <v>1.0666666666666667E-6</v>
      </c>
      <c r="E65" s="30">
        <f>IFERROR(E21/$B51,0)</f>
        <v>2.1694802535592709E-6</v>
      </c>
      <c r="F65" s="30">
        <f>IFERROR(F21/$B51,0)</f>
        <v>0</v>
      </c>
      <c r="G65" s="30">
        <f t="shared" si="119"/>
        <v>7.1508257427992738E-7</v>
      </c>
      <c r="H65" s="38">
        <f>IFERROR(up_RadSpec!$I$21*H21,".")*$B$65</f>
        <v>46.875</v>
      </c>
      <c r="I65" s="38">
        <f>IFERROR(up_RadSpec!$G$21*I21,".")*$B$65</f>
        <v>23.046994743542612</v>
      </c>
      <c r="J65" s="38">
        <f>IFERROR(up_RadSpec!$F$21*J21,".")*$B$65</f>
        <v>0</v>
      </c>
      <c r="K65" s="47">
        <f t="shared" si="120"/>
        <v>1</v>
      </c>
      <c r="L65" s="47">
        <f t="shared" si="120"/>
        <v>0.99999999990209221</v>
      </c>
      <c r="M65" s="47">
        <f t="shared" si="120"/>
        <v>0</v>
      </c>
      <c r="N65" s="47">
        <f t="shared" si="121"/>
        <v>1</v>
      </c>
      <c r="O65" s="30">
        <f>IFERROR(O21/$B51,0)</f>
        <v>1.0666666666666667E-6</v>
      </c>
      <c r="P65" s="30">
        <f>IFERROR(P21/$B51,0)</f>
        <v>1.3644722035813288E-5</v>
      </c>
      <c r="Q65" s="30">
        <f>IFERROR(Q21/$B51,0)</f>
        <v>0</v>
      </c>
      <c r="R65" s="30">
        <f t="shared" si="122"/>
        <v>9.893267363046894E-7</v>
      </c>
      <c r="S65" s="38">
        <f>IFERROR(up_RadSpec!$I$21*S21,".")*$B$65</f>
        <v>46.875</v>
      </c>
      <c r="T65" s="38">
        <f>IFERROR(up_RadSpec!$G$21*T21,".")*$B$65</f>
        <v>3.664420562673615</v>
      </c>
      <c r="U65" s="38">
        <f>IFERROR(up_RadSpec!$F$21*U21,".")*$B$65</f>
        <v>0</v>
      </c>
      <c r="V65" s="47">
        <f t="shared" si="123"/>
        <v>1</v>
      </c>
      <c r="W65" s="47">
        <f t="shared" si="123"/>
        <v>0.97438098840463438</v>
      </c>
      <c r="X65" s="47">
        <f t="shared" si="123"/>
        <v>0</v>
      </c>
      <c r="Y65" s="47">
        <f t="shared" si="124"/>
        <v>1</v>
      </c>
      <c r="Z65" s="30">
        <f t="shared" ref="Z65:AD65" si="130">IFERROR(Z21/$B51,0)</f>
        <v>0</v>
      </c>
      <c r="AA65" s="30">
        <f t="shared" si="130"/>
        <v>0</v>
      </c>
      <c r="AB65" s="30">
        <f t="shared" si="130"/>
        <v>0</v>
      </c>
      <c r="AC65" s="30">
        <f t="shared" si="130"/>
        <v>0</v>
      </c>
      <c r="AD65" s="30">
        <f t="shared" si="130"/>
        <v>0</v>
      </c>
      <c r="AE65" s="38">
        <f>IFERROR(up_RadSpec!$F$21*AE21,".")*$B$65</f>
        <v>0</v>
      </c>
      <c r="AF65" s="38">
        <f>IFERROR(up_RadSpec!$M$21*AF21,".")*$B$65</f>
        <v>0</v>
      </c>
      <c r="AG65" s="38">
        <f>IFERROR(up_RadSpec!$N$21*AG21,".")*$B$65</f>
        <v>0</v>
      </c>
      <c r="AH65" s="38">
        <f>IFERROR(up_RadSpec!$O$21*AH21,".")*$B$65</f>
        <v>0</v>
      </c>
      <c r="AI65" s="38">
        <f>IFERROR(up_RadSpec!$K$21*AI21,".")*$B$65</f>
        <v>0</v>
      </c>
      <c r="AJ65" s="47">
        <f t="shared" si="126"/>
        <v>0</v>
      </c>
      <c r="AK65" s="47">
        <f t="shared" si="126"/>
        <v>0</v>
      </c>
      <c r="AL65" s="47">
        <f t="shared" si="126"/>
        <v>0</v>
      </c>
      <c r="AM65" s="47">
        <f t="shared" si="126"/>
        <v>0</v>
      </c>
      <c r="AN65" s="47">
        <f t="shared" si="126"/>
        <v>0</v>
      </c>
      <c r="AO65" s="30">
        <f t="shared" ref="AO65:AQ65" si="131">IFERROR(AO21/$B51,0)</f>
        <v>4.2666666666666668E-9</v>
      </c>
      <c r="AP65" s="30">
        <f t="shared" si="131"/>
        <v>9.344E-5</v>
      </c>
      <c r="AQ65" s="30">
        <f t="shared" si="131"/>
        <v>4.2664718506004295E-9</v>
      </c>
      <c r="AR65" s="38">
        <f>IFERROR(up_RadSpec!$G$21*AR21,".")*$B$65</f>
        <v>11718.75</v>
      </c>
      <c r="AS65" s="38">
        <f>IFERROR(up_RadSpec!$J$21*AS21,".")*$B$65</f>
        <v>0.53510273972602751</v>
      </c>
      <c r="AT65" s="47">
        <f t="shared" si="128"/>
        <v>1</v>
      </c>
      <c r="AU65" s="47">
        <f t="shared" si="128"/>
        <v>0.41439087826672238</v>
      </c>
      <c r="AV65" s="47">
        <f t="shared" si="129"/>
        <v>1</v>
      </c>
    </row>
    <row r="66" spans="1:48" x14ac:dyDescent="0.25">
      <c r="A66" s="29" t="s">
        <v>308</v>
      </c>
      <c r="B66" s="35">
        <v>0.99980000000000002</v>
      </c>
      <c r="C66" s="2"/>
      <c r="D66" s="30">
        <f>IFERROR(D17/$B52,0)</f>
        <v>1.0668800426752016E-6</v>
      </c>
      <c r="E66" s="30">
        <f>IFERROR(E17/$B52,0)</f>
        <v>2.1699142364065522E-6</v>
      </c>
      <c r="F66" s="30">
        <f>IFERROR(F17/$B52,0)</f>
        <v>1.0316868568518893E-3</v>
      </c>
      <c r="G66" s="30">
        <f t="shared" si="119"/>
        <v>7.147301267122136E-7</v>
      </c>
      <c r="H66" s="38">
        <f>IFERROR(up_RadSpec!$I$17*H17,".")*$B$66</f>
        <v>46.865625000000001</v>
      </c>
      <c r="I66" s="38">
        <f>IFERROR(up_RadSpec!$G$17*I17,".")*$B$66</f>
        <v>23.042385344593903</v>
      </c>
      <c r="J66" s="38">
        <f>IFERROR(up_RadSpec!$F$17*J17,".")*$B$66</f>
        <v>4.8464318090249828E-2</v>
      </c>
      <c r="K66" s="47">
        <f t="shared" si="120"/>
        <v>1</v>
      </c>
      <c r="L66" s="47">
        <f t="shared" si="120"/>
        <v>0.9999999999016399</v>
      </c>
      <c r="M66" s="47">
        <f t="shared" si="120"/>
        <v>4.7308667454492914E-2</v>
      </c>
      <c r="N66" s="47">
        <f t="shared" si="121"/>
        <v>1</v>
      </c>
      <c r="O66" s="30">
        <f>IFERROR(O17/$B52,0)</f>
        <v>1.0668800426752016E-6</v>
      </c>
      <c r="P66" s="30">
        <f>IFERROR(P17/$B52,0)</f>
        <v>1.3647451526118512E-5</v>
      </c>
      <c r="Q66" s="30">
        <f>IFERROR(Q17/$B52,0)</f>
        <v>1.0316868568518893E-3</v>
      </c>
      <c r="R66" s="30">
        <f t="shared" si="122"/>
        <v>9.8857646517976497E-7</v>
      </c>
      <c r="S66" s="38">
        <f>IFERROR(up_RadSpec!$I$17*S17,".")*$B$66</f>
        <v>46.865625000000001</v>
      </c>
      <c r="T66" s="38">
        <f>IFERROR(up_RadSpec!$G$17*T17,".")*$B$66</f>
        <v>3.6636876785610806</v>
      </c>
      <c r="U66" s="38">
        <f>IFERROR(up_RadSpec!$F$17*U17,".")*$B$66</f>
        <v>4.8464318090249828E-2</v>
      </c>
      <c r="V66" s="47">
        <f t="shared" si="123"/>
        <v>1</v>
      </c>
      <c r="W66" s="47">
        <f t="shared" si="123"/>
        <v>0.97436220575614563</v>
      </c>
      <c r="X66" s="47">
        <f t="shared" si="123"/>
        <v>4.7308667454492914E-2</v>
      </c>
      <c r="Y66" s="47">
        <f t="shared" si="124"/>
        <v>1</v>
      </c>
      <c r="Z66" s="30">
        <f t="shared" ref="Z66:AD66" si="132">IFERROR(Z17/$B52,0)</f>
        <v>1.0316868568518893E-3</v>
      </c>
      <c r="AA66" s="30">
        <f t="shared" si="132"/>
        <v>1.8030885430496012E-3</v>
      </c>
      <c r="AB66" s="30">
        <f t="shared" si="132"/>
        <v>1.3584729210207249E-3</v>
      </c>
      <c r="AC66" s="30">
        <f t="shared" si="132"/>
        <v>1.2079968772729123E-3</v>
      </c>
      <c r="AD66" s="30">
        <f t="shared" si="132"/>
        <v>3.454963059070797E-3</v>
      </c>
      <c r="AE66" s="38">
        <f>IFERROR(up_RadSpec!$F$17*AE17,".")*$B$66</f>
        <v>4.8464318090249828E-2</v>
      </c>
      <c r="AF66" s="38">
        <f>IFERROR(up_RadSpec!$M$17*AF17,".")*$B$66</f>
        <v>2.7730196718700219E-2</v>
      </c>
      <c r="AG66" s="38">
        <f>IFERROR(up_RadSpec!$N$17*AG17,".")*$B$66</f>
        <v>3.680603361782963E-2</v>
      </c>
      <c r="AH66" s="38">
        <f>IFERROR(up_RadSpec!$O$17*AH17,".")*$B$66</f>
        <v>4.1390835473744322E-2</v>
      </c>
      <c r="AI66" s="38">
        <f>IFERROR(up_RadSpec!$K$17*AI17,".")*$B$66</f>
        <v>1.4471934763159921E-2</v>
      </c>
      <c r="AJ66" s="47">
        <f t="shared" si="126"/>
        <v>4.7308667454492914E-2</v>
      </c>
      <c r="AK66" s="47">
        <f t="shared" si="126"/>
        <v>2.7349244231581915E-2</v>
      </c>
      <c r="AL66" s="47">
        <f t="shared" si="126"/>
        <v>3.6136925748043724E-2</v>
      </c>
      <c r="AM66" s="47">
        <f t="shared" si="126"/>
        <v>4.0545932026381348E-2</v>
      </c>
      <c r="AN66" s="47">
        <f t="shared" si="126"/>
        <v>1.4367719652399136E-2</v>
      </c>
      <c r="AO66" s="30">
        <f t="shared" ref="AO66:AQ66" si="133">IFERROR(AO17/$B52,0)</f>
        <v>4.2675201707008067E-9</v>
      </c>
      <c r="AP66" s="30">
        <f t="shared" si="133"/>
        <v>9.3458691738347672E-5</v>
      </c>
      <c r="AQ66" s="30">
        <f t="shared" si="133"/>
        <v>4.2673253156635621E-9</v>
      </c>
      <c r="AR66" s="38">
        <f>IFERROR(up_RadSpec!$G$17*AR17,".")*$B$66</f>
        <v>11716.40625</v>
      </c>
      <c r="AS66" s="38">
        <f>IFERROR(up_RadSpec!$J$17*AS17,".")*$B$66</f>
        <v>0.53499571917808231</v>
      </c>
      <c r="AT66" s="47">
        <f t="shared" si="128"/>
        <v>1</v>
      </c>
      <c r="AU66" s="47">
        <f t="shared" si="128"/>
        <v>0.41432820270390613</v>
      </c>
      <c r="AV66" s="47">
        <f t="shared" si="129"/>
        <v>1</v>
      </c>
    </row>
    <row r="67" spans="1:48" x14ac:dyDescent="0.25">
      <c r="A67" s="29" t="s">
        <v>309</v>
      </c>
      <c r="B67" s="34">
        <v>2.0000000000000001E-4</v>
      </c>
      <c r="C67" s="2"/>
      <c r="D67" s="30">
        <f>IFERROR(D5/$B53,0)</f>
        <v>5.3333333333333332E-3</v>
      </c>
      <c r="E67" s="30">
        <f>IFERROR(E5/$B53,0)</f>
        <v>1.0847401267796354E-2</v>
      </c>
      <c r="F67" s="30">
        <f>IFERROR(F5/$B53,0)</f>
        <v>0</v>
      </c>
      <c r="G67" s="30">
        <f t="shared" si="119"/>
        <v>3.5754128713996369E-3</v>
      </c>
      <c r="H67" s="38">
        <f>IFERROR(up_RadSpec!$I$5*H5,".")*$B$67</f>
        <v>9.3749999999999997E-3</v>
      </c>
      <c r="I67" s="38">
        <f>IFERROR(up_RadSpec!$G$5*I5,".")*$B$67</f>
        <v>4.609398948708523E-3</v>
      </c>
      <c r="J67" s="38">
        <f>IFERROR(up_RadSpec!$F$5*J5,".")*$B$67</f>
        <v>0</v>
      </c>
      <c r="K67" s="47">
        <f t="shared" si="120"/>
        <v>9.3749999999999997E-3</v>
      </c>
      <c r="L67" s="47">
        <f t="shared" si="120"/>
        <v>4.609398948708523E-3</v>
      </c>
      <c r="M67" s="47">
        <f t="shared" si="120"/>
        <v>0</v>
      </c>
      <c r="N67" s="47">
        <f t="shared" si="121"/>
        <v>1.3887071458766553E-2</v>
      </c>
      <c r="O67" s="30">
        <f>IFERROR(O5/$B53,0)</f>
        <v>5.3333333333333332E-3</v>
      </c>
      <c r="P67" s="30">
        <f>IFERROR(P5/$B53,0)</f>
        <v>6.8223610179066432E-2</v>
      </c>
      <c r="Q67" s="30">
        <f>IFERROR(Q5/$B53,0)</f>
        <v>0</v>
      </c>
      <c r="R67" s="30">
        <f t="shared" si="122"/>
        <v>4.9466336815234477E-3</v>
      </c>
      <c r="S67" s="38">
        <f>IFERROR(up_RadSpec!$I$5*S5,".")*$B$67</f>
        <v>9.3749999999999997E-3</v>
      </c>
      <c r="T67" s="38">
        <f>IFERROR(up_RadSpec!$G$5*T5,".")*$B$67</f>
        <v>7.3288411253472302E-4</v>
      </c>
      <c r="U67" s="38">
        <f>IFERROR(up_RadSpec!$F$5*U5,".")*$B$67</f>
        <v>0</v>
      </c>
      <c r="V67" s="47">
        <f t="shared" si="123"/>
        <v>9.3749999999999997E-3</v>
      </c>
      <c r="W67" s="47">
        <f t="shared" si="123"/>
        <v>7.3288411253472302E-4</v>
      </c>
      <c r="X67" s="47">
        <f t="shared" si="123"/>
        <v>0</v>
      </c>
      <c r="Y67" s="47">
        <f t="shared" si="124"/>
        <v>1.0056971137132331E-2</v>
      </c>
      <c r="Z67" s="30">
        <f t="shared" ref="Z67:AD67" si="134">IFERROR(Z5/$B53,0)</f>
        <v>0</v>
      </c>
      <c r="AA67" s="30">
        <f t="shared" si="134"/>
        <v>0</v>
      </c>
      <c r="AB67" s="30">
        <f t="shared" si="134"/>
        <v>0</v>
      </c>
      <c r="AC67" s="30">
        <f t="shared" si="134"/>
        <v>0</v>
      </c>
      <c r="AD67" s="30">
        <f t="shared" si="134"/>
        <v>0</v>
      </c>
      <c r="AE67" s="38">
        <f>IFERROR(up_RadSpec!$F$5*AE5,".")*$B$67</f>
        <v>0</v>
      </c>
      <c r="AF67" s="38">
        <f>IFERROR(up_RadSpec!$M$5*AF5,".")*$B$67</f>
        <v>0</v>
      </c>
      <c r="AG67" s="38">
        <f>IFERROR(up_RadSpec!$N$5*AG5,".")*$B$67</f>
        <v>0</v>
      </c>
      <c r="AH67" s="38">
        <f>IFERROR(up_RadSpec!$O$5*AH5,".")*$B$67</f>
        <v>0</v>
      </c>
      <c r="AI67" s="38">
        <f>IFERROR(up_RadSpec!$K$5*AI5,".")*$B$67</f>
        <v>0</v>
      </c>
      <c r="AJ67" s="47">
        <f t="shared" si="126"/>
        <v>0</v>
      </c>
      <c r="AK67" s="47">
        <f t="shared" si="126"/>
        <v>0</v>
      </c>
      <c r="AL67" s="47">
        <f t="shared" si="126"/>
        <v>0</v>
      </c>
      <c r="AM67" s="47">
        <f t="shared" si="126"/>
        <v>0</v>
      </c>
      <c r="AN67" s="47">
        <f t="shared" si="126"/>
        <v>0</v>
      </c>
      <c r="AO67" s="30">
        <f t="shared" ref="AO67:AQ67" si="135">IFERROR(AO5/$B53,0)</f>
        <v>2.1333333333333335E-5</v>
      </c>
      <c r="AP67" s="30">
        <f t="shared" si="135"/>
        <v>0.4672</v>
      </c>
      <c r="AQ67" s="30">
        <f t="shared" si="135"/>
        <v>2.1332359253002145E-5</v>
      </c>
      <c r="AR67" s="38">
        <f>IFERROR(up_RadSpec!$G$5*AR5,".")*$B$67</f>
        <v>2.34375</v>
      </c>
      <c r="AS67" s="38">
        <f>IFERROR(up_RadSpec!$J$5*AS5,".")*$B$67</f>
        <v>1.070205479452055E-4</v>
      </c>
      <c r="AT67" s="47">
        <f t="shared" si="128"/>
        <v>0.90403291395500152</v>
      </c>
      <c r="AU67" s="47">
        <f t="shared" si="128"/>
        <v>1.070205479452055E-4</v>
      </c>
      <c r="AV67" s="47">
        <f t="shared" si="129"/>
        <v>0.9040431838555798</v>
      </c>
    </row>
    <row r="68" spans="1:48" x14ac:dyDescent="0.25">
      <c r="A68" s="29" t="s">
        <v>310</v>
      </c>
      <c r="B68" s="34">
        <v>0.99999979999999999</v>
      </c>
      <c r="C68" s="2"/>
      <c r="D68" s="30">
        <f>IFERROR(D9/$B54,0)</f>
        <v>1.0666668800000428E-6</v>
      </c>
      <c r="E68" s="30">
        <f>IFERROR(E9/$B54,0)</f>
        <v>2.1694806874554082E-6</v>
      </c>
      <c r="F68" s="30">
        <f>IFERROR(F9/$B54,0)</f>
        <v>3.813654020787731E-4</v>
      </c>
      <c r="G68" s="30">
        <f t="shared" si="119"/>
        <v>7.1374440426316061E-7</v>
      </c>
      <c r="H68" s="38">
        <f>IFERROR(up_RadSpec!$I$9*H9,".")*$B$68</f>
        <v>46.874990625000002</v>
      </c>
      <c r="I68" s="38">
        <f>IFERROR(up_RadSpec!$G$9*I9,".")*$B$68</f>
        <v>23.046990134143662</v>
      </c>
      <c r="J68" s="38">
        <f>IFERROR(up_RadSpec!$F$9*J9,".")*$B$68</f>
        <v>0.1311078554254175</v>
      </c>
      <c r="K68" s="47">
        <f t="shared" si="120"/>
        <v>1</v>
      </c>
      <c r="L68" s="47">
        <f t="shared" si="120"/>
        <v>0.99999999990209176</v>
      </c>
      <c r="M68" s="47">
        <f t="shared" si="120"/>
        <v>0.12287683320313425</v>
      </c>
      <c r="N68" s="47">
        <f t="shared" si="121"/>
        <v>1</v>
      </c>
      <c r="O68" s="30">
        <f>IFERROR(O9/$B54,0)</f>
        <v>1.0666668800000428E-6</v>
      </c>
      <c r="P68" s="30">
        <f>IFERROR(P9/$B54,0)</f>
        <v>1.3644724764758241E-5</v>
      </c>
      <c r="Q68" s="30">
        <f>IFERROR(Q9/$B54,0)</f>
        <v>3.813654020787731E-4</v>
      </c>
      <c r="R68" s="30">
        <f t="shared" si="122"/>
        <v>9.8676709193875092E-7</v>
      </c>
      <c r="S68" s="38">
        <f>IFERROR(up_RadSpec!$I$9*S9,".")*$B$68</f>
        <v>46.874990625000002</v>
      </c>
      <c r="T68" s="38">
        <f>IFERROR(up_RadSpec!$G$9*T9,".")*$B$68</f>
        <v>3.6644198297895025</v>
      </c>
      <c r="U68" s="38">
        <f>IFERROR(up_RadSpec!$F$9*U9,".")*$B$68</f>
        <v>0.1311078554254175</v>
      </c>
      <c r="V68" s="47">
        <f t="shared" si="123"/>
        <v>1</v>
      </c>
      <c r="W68" s="47">
        <f t="shared" si="123"/>
        <v>0.97438096962886089</v>
      </c>
      <c r="X68" s="47">
        <f t="shared" si="123"/>
        <v>0.12287683320313425</v>
      </c>
      <c r="Y68" s="47">
        <f t="shared" si="124"/>
        <v>1</v>
      </c>
      <c r="Z68" s="30">
        <f t="shared" ref="Z68:AD68" si="136">IFERROR(Z9/$B54,0)</f>
        <v>3.813654020787731E-4</v>
      </c>
      <c r="AA68" s="30">
        <f t="shared" si="136"/>
        <v>7.8110015622003155E-4</v>
      </c>
      <c r="AB68" s="30">
        <f t="shared" si="136"/>
        <v>5.4959735479893478E-4</v>
      </c>
      <c r="AC68" s="30">
        <f t="shared" si="136"/>
        <v>4.5304251485092721E-4</v>
      </c>
      <c r="AD68" s="30">
        <f t="shared" si="136"/>
        <v>1.3835466833543354E-3</v>
      </c>
      <c r="AE68" s="38">
        <f>IFERROR(up_RadSpec!$F$9*AE9,".")*$B$68</f>
        <v>0.1311078554254175</v>
      </c>
      <c r="AF68" s="38">
        <f>IFERROR(up_RadSpec!$M$9*AF9,".")*$B$68</f>
        <v>6.4012277557290984E-2</v>
      </c>
      <c r="AG68" s="38">
        <f>IFERROR(up_RadSpec!$N$9*AG9,".")*$B$68</f>
        <v>9.0975692592792881E-2</v>
      </c>
      <c r="AH68" s="38">
        <f>IFERROR(up_RadSpec!$O$9*AH9,".")*$B$68</f>
        <v>0.11036491799550516</v>
      </c>
      <c r="AI68" s="38">
        <f>IFERROR(up_RadSpec!$K$9*AI9,".")*$B$68</f>
        <v>3.6139004633206635E-2</v>
      </c>
      <c r="AJ68" s="47">
        <f t="shared" si="126"/>
        <v>0.12287683320313425</v>
      </c>
      <c r="AK68" s="47">
        <f t="shared" si="126"/>
        <v>6.2006516808695067E-2</v>
      </c>
      <c r="AL68" s="47">
        <f t="shared" si="126"/>
        <v>8.6960095737717569E-2</v>
      </c>
      <c r="AM68" s="47">
        <f t="shared" si="126"/>
        <v>0.10449271106074343</v>
      </c>
      <c r="AN68" s="47">
        <f t="shared" si="126"/>
        <v>3.5493786667951888E-2</v>
      </c>
      <c r="AO68" s="30">
        <f t="shared" ref="AO68:AQ68" si="137">IFERROR(AO9/$B54,0)</f>
        <v>4.266667520000171E-9</v>
      </c>
      <c r="AP68" s="30">
        <f t="shared" si="137"/>
        <v>9.344001868800374E-5</v>
      </c>
      <c r="AQ68" s="30">
        <f t="shared" si="137"/>
        <v>4.2664727038949703E-9</v>
      </c>
      <c r="AR68" s="38">
        <f>IFERROR(up_RadSpec!$G$9*AR9,".")*$B$68</f>
        <v>11718.74765625</v>
      </c>
      <c r="AS68" s="38">
        <f>IFERROR(up_RadSpec!$J$9*AS9,".")*$B$68</f>
        <v>0.53510263270547953</v>
      </c>
      <c r="AT68" s="47">
        <f t="shared" si="128"/>
        <v>1</v>
      </c>
      <c r="AU68" s="47">
        <f t="shared" si="128"/>
        <v>0.41439081559450996</v>
      </c>
      <c r="AV68" s="47">
        <f t="shared" si="129"/>
        <v>1</v>
      </c>
    </row>
    <row r="69" spans="1:48" x14ac:dyDescent="0.25">
      <c r="A69" s="29" t="s">
        <v>311</v>
      </c>
      <c r="B69" s="34">
        <v>1.9999999999999999E-7</v>
      </c>
      <c r="C69" s="2"/>
      <c r="D69" s="30">
        <f>IFERROR(D24/$B55,0)</f>
        <v>5.3333333333333339</v>
      </c>
      <c r="E69" s="30">
        <f>IFERROR(E24/$B55,0)</f>
        <v>10.847401267796355</v>
      </c>
      <c r="F69" s="30">
        <f>IFERROR(F24/$B55,0)</f>
        <v>3365.0732335425732</v>
      </c>
      <c r="G69" s="30">
        <f t="shared" si="119"/>
        <v>3.5716180033255864</v>
      </c>
      <c r="H69" s="38">
        <f>IFERROR(up_RadSpec!$I$24*H24,".")*$B$69</f>
        <v>9.3749999999999992E-6</v>
      </c>
      <c r="I69" s="38">
        <f>IFERROR(up_RadSpec!$G$24*I24,".")*$B$69</f>
        <v>4.6093989487085222E-6</v>
      </c>
      <c r="J69" s="38">
        <f>IFERROR(up_RadSpec!$F$24*J24,".")*$B$69</f>
        <v>1.4858517639856122E-8</v>
      </c>
      <c r="K69" s="47">
        <f t="shared" si="120"/>
        <v>9.3749999999999992E-6</v>
      </c>
      <c r="L69" s="47">
        <f t="shared" si="120"/>
        <v>4.6093989487085222E-6</v>
      </c>
      <c r="M69" s="47">
        <f t="shared" si="120"/>
        <v>1.4858517639856122E-8</v>
      </c>
      <c r="N69" s="47">
        <f t="shared" si="121"/>
        <v>1.3999257466348377E-5</v>
      </c>
      <c r="O69" s="30">
        <f>IFERROR(O24/$B55,0)</f>
        <v>5.3333333333333339</v>
      </c>
      <c r="P69" s="30">
        <f>IFERROR(P24/$B55,0)</f>
        <v>68.223610179066441</v>
      </c>
      <c r="Q69" s="30">
        <f>IFERROR(Q24/$B55,0)</f>
        <v>3365.0732335425732</v>
      </c>
      <c r="R69" s="30">
        <f t="shared" si="122"/>
        <v>4.9393728386372793</v>
      </c>
      <c r="S69" s="38">
        <f>IFERROR(up_RadSpec!$I$24*S24,".")*$B$69</f>
        <v>9.3749999999999992E-6</v>
      </c>
      <c r="T69" s="38">
        <f>IFERROR(up_RadSpec!$G$24*T24,".")*$B$69</f>
        <v>7.3288411253472298E-7</v>
      </c>
      <c r="U69" s="38">
        <f>IFERROR(up_RadSpec!$F$24*U24,".")*$B$69</f>
        <v>1.4858517639856122E-8</v>
      </c>
      <c r="V69" s="47">
        <f t="shared" si="123"/>
        <v>9.3749999999999992E-6</v>
      </c>
      <c r="W69" s="47">
        <f t="shared" si="123"/>
        <v>7.3288411253472298E-7</v>
      </c>
      <c r="X69" s="47">
        <f t="shared" si="123"/>
        <v>1.4858517639856122E-8</v>
      </c>
      <c r="Y69" s="47">
        <f t="shared" si="124"/>
        <v>1.0122742630174578E-5</v>
      </c>
      <c r="Z69" s="30">
        <f t="shared" ref="Z69:AD69" si="138">IFERROR(Z24/$B55,0)</f>
        <v>3365.0732335425732</v>
      </c>
      <c r="AA69" s="30">
        <f t="shared" si="138"/>
        <v>6100.9281243254936</v>
      </c>
      <c r="AB69" s="30">
        <f t="shared" si="138"/>
        <v>4307.6494855609108</v>
      </c>
      <c r="AC69" s="30">
        <f t="shared" si="138"/>
        <v>3597.1666153372344</v>
      </c>
      <c r="AD69" s="30">
        <f t="shared" si="138"/>
        <v>10139.780219780218</v>
      </c>
      <c r="AE69" s="38">
        <f>IFERROR(up_RadSpec!$F$24*AE24,".")*$B$69</f>
        <v>1.4858517639856122E-8</v>
      </c>
      <c r="AF69" s="38">
        <f>IFERROR(up_RadSpec!$M$24*AF24,".")*$B$69</f>
        <v>8.1954743575229245E-9</v>
      </c>
      <c r="AG69" s="38">
        <f>IFERROR(up_RadSpec!$N$24*AG24,".")*$B$69</f>
        <v>1.1607258243178382E-8</v>
      </c>
      <c r="AH69" s="38">
        <f>IFERROR(up_RadSpec!$O$24*AH24,".")*$B$69</f>
        <v>1.389982876712329E-8</v>
      </c>
      <c r="AI69" s="38">
        <f>IFERROR(up_RadSpec!$K$24*AI24,".")*$B$69</f>
        <v>4.9310733483613691E-9</v>
      </c>
      <c r="AJ69" s="47">
        <f t="shared" si="126"/>
        <v>1.4858517639856122E-8</v>
      </c>
      <c r="AK69" s="47">
        <f t="shared" si="126"/>
        <v>8.1954743575229245E-9</v>
      </c>
      <c r="AL69" s="47">
        <f t="shared" si="126"/>
        <v>1.1607258243178382E-8</v>
      </c>
      <c r="AM69" s="47">
        <f t="shared" si="126"/>
        <v>1.389982876712329E-8</v>
      </c>
      <c r="AN69" s="47">
        <f t="shared" si="126"/>
        <v>4.9310733483613691E-9</v>
      </c>
      <c r="AO69" s="30">
        <f t="shared" ref="AO69:AQ69" si="139">IFERROR(AO24/$B55,0)</f>
        <v>2.1333333333333336E-2</v>
      </c>
      <c r="AP69" s="30">
        <f t="shared" si="139"/>
        <v>467.20000000000005</v>
      </c>
      <c r="AQ69" s="30">
        <f t="shared" si="139"/>
        <v>2.1332359253002149E-2</v>
      </c>
      <c r="AR69" s="38">
        <f>IFERROR(up_RadSpec!$G$24*AR24,".")*$B$69</f>
        <v>2.3437499999999999E-3</v>
      </c>
      <c r="AS69" s="38">
        <f>IFERROR(up_RadSpec!$J$24*AS24,".")*$B$69</f>
        <v>1.070205479452055E-7</v>
      </c>
      <c r="AT69" s="47">
        <f t="shared" si="128"/>
        <v>2.3437499999999999E-3</v>
      </c>
      <c r="AU69" s="47">
        <f t="shared" si="128"/>
        <v>1.070205479452055E-7</v>
      </c>
      <c r="AV69" s="47">
        <f t="shared" si="129"/>
        <v>2.3438570205479453E-3</v>
      </c>
    </row>
    <row r="70" spans="1:48" x14ac:dyDescent="0.25">
      <c r="A70" s="29" t="s">
        <v>312</v>
      </c>
      <c r="B70" s="34">
        <v>0.99979000004200003</v>
      </c>
      <c r="C70" s="2"/>
      <c r="D70" s="30">
        <f>IFERROR(D20/$B56,0)</f>
        <v>1.0668907136717282E-6</v>
      </c>
      <c r="E70" s="30">
        <f>IFERROR(E20/$B56,0)</f>
        <v>2.1699359400155368E-6</v>
      </c>
      <c r="F70" s="30">
        <f>IFERROR(F20/$B56,0)</f>
        <v>5.2722208620013995E-4</v>
      </c>
      <c r="G70" s="30">
        <f t="shared" si="119"/>
        <v>7.1426379840479604E-7</v>
      </c>
      <c r="H70" s="38">
        <f>IFERROR(up_RadSpec!$I$20*H20,".")*$B$70</f>
        <v>46.865156251968749</v>
      </c>
      <c r="I70" s="38">
        <f>IFERROR(up_RadSpec!$G$20*I20,".")*$B$70</f>
        <v>23.042154875614443</v>
      </c>
      <c r="J70" s="38">
        <f>IFERROR(up_RadSpec!$F$20*J20,".")*$B$70</f>
        <v>9.4836694646778116E-2</v>
      </c>
      <c r="K70" s="47">
        <f t="shared" si="120"/>
        <v>1</v>
      </c>
      <c r="L70" s="47">
        <f t="shared" si="120"/>
        <v>0.99999999990161714</v>
      </c>
      <c r="M70" s="47">
        <f t="shared" si="120"/>
        <v>9.0478547936965747E-2</v>
      </c>
      <c r="N70" s="47">
        <f t="shared" si="121"/>
        <v>1</v>
      </c>
      <c r="O70" s="30">
        <f>IFERROR(O20/$B56,0)</f>
        <v>1.0668907136717282E-6</v>
      </c>
      <c r="P70" s="30">
        <f>IFERROR(P20/$B56,0)</f>
        <v>1.3647588028726121E-5</v>
      </c>
      <c r="Q70" s="30">
        <f>IFERROR(Q20/$B56,0)</f>
        <v>5.2722208620013995E-4</v>
      </c>
      <c r="R70" s="30">
        <f t="shared" si="122"/>
        <v>9.8768077656840699E-7</v>
      </c>
      <c r="S70" s="38">
        <f>IFERROR(up_RadSpec!$I$20*S20,".")*$B$70</f>
        <v>46.865156251968749</v>
      </c>
      <c r="T70" s="38">
        <f>IFERROR(up_RadSpec!$G$20*T20,".")*$B$70</f>
        <v>3.6636510345093591</v>
      </c>
      <c r="U70" s="38">
        <f>IFERROR(up_RadSpec!$F$20*U20,".")*$B$70</f>
        <v>9.4836694646778116E-2</v>
      </c>
      <c r="V70" s="47">
        <f t="shared" si="123"/>
        <v>1</v>
      </c>
      <c r="W70" s="47">
        <f t="shared" si="123"/>
        <v>0.97436126626627417</v>
      </c>
      <c r="X70" s="47">
        <f t="shared" si="123"/>
        <v>9.0478547936965747E-2</v>
      </c>
      <c r="Y70" s="47">
        <f t="shared" si="124"/>
        <v>1</v>
      </c>
      <c r="Z70" s="30">
        <f t="shared" ref="Z70:AD70" si="140">IFERROR(Z20/$B56,0)</f>
        <v>5.2722208620013995E-4</v>
      </c>
      <c r="AA70" s="30">
        <f t="shared" si="140"/>
        <v>1.0397318870467519E-3</v>
      </c>
      <c r="AB70" s="30">
        <f t="shared" si="140"/>
        <v>7.2747877783879949E-4</v>
      </c>
      <c r="AC70" s="30">
        <f t="shared" si="140"/>
        <v>6.1084723214146043E-4</v>
      </c>
      <c r="AD70" s="30">
        <f t="shared" si="140"/>
        <v>1.771663340518391E-3</v>
      </c>
      <c r="AE70" s="38">
        <f>IFERROR(up_RadSpec!$F$20*AE20,".")*$B$70</f>
        <v>9.4836694646778116E-2</v>
      </c>
      <c r="AF70" s="38">
        <f>IFERROR(up_RadSpec!$M$20*AF20,".")*$B$70</f>
        <v>4.8089320547838266E-2</v>
      </c>
      <c r="AG70" s="38">
        <f>IFERROR(up_RadSpec!$N$20*AG20,".")*$B$70</f>
        <v>6.8730527299422334E-2</v>
      </c>
      <c r="AH70" s="38">
        <f>IFERROR(up_RadSpec!$O$20*AH20,".")*$B$70</f>
        <v>8.1853526330493337E-2</v>
      </c>
      <c r="AI70" s="38">
        <f>IFERROR(up_RadSpec!$K$20*AI20,".")*$B$70</f>
        <v>2.8222066154718731E-2</v>
      </c>
      <c r="AJ70" s="47">
        <f t="shared" si="126"/>
        <v>9.0478547936965747E-2</v>
      </c>
      <c r="AK70" s="47">
        <f t="shared" si="126"/>
        <v>4.6951343552506297E-2</v>
      </c>
      <c r="AL70" s="47">
        <f t="shared" si="126"/>
        <v>6.6421779970743389E-2</v>
      </c>
      <c r="AM70" s="47">
        <f t="shared" si="126"/>
        <v>7.8593089336033817E-2</v>
      </c>
      <c r="AN70" s="47">
        <f t="shared" si="126"/>
        <v>2.7827543770159391E-2</v>
      </c>
      <c r="AO70" s="30">
        <f t="shared" ref="AO70:AQ70" si="141">IFERROR(AO20/$B56,0)</f>
        <v>4.2675628546869131E-9</v>
      </c>
      <c r="AP70" s="30">
        <f t="shared" si="141"/>
        <v>9.3459626517643403E-5</v>
      </c>
      <c r="AQ70" s="30">
        <f t="shared" si="141"/>
        <v>4.2673679977007168E-9</v>
      </c>
      <c r="AR70" s="38">
        <f>IFERROR(up_RadSpec!$G$20*AR20,".")*$B$70</f>
        <v>11716.289062992188</v>
      </c>
      <c r="AS70" s="38">
        <f>IFERROR(up_RadSpec!$J$20*AS20,".")*$B$70</f>
        <v>0.53499036817315937</v>
      </c>
      <c r="AT70" s="47">
        <f t="shared" si="128"/>
        <v>1</v>
      </c>
      <c r="AU70" s="47">
        <f t="shared" si="128"/>
        <v>0.41432506876285069</v>
      </c>
      <c r="AV70" s="47">
        <f t="shared" si="129"/>
        <v>1</v>
      </c>
    </row>
    <row r="71" spans="1:48" x14ac:dyDescent="0.25">
      <c r="A71" s="29" t="s">
        <v>313</v>
      </c>
      <c r="B71" s="34">
        <v>2.0999995799999999E-4</v>
      </c>
      <c r="C71" s="2"/>
      <c r="D71" s="30">
        <f>IFERROR(D29/$B57,0)</f>
        <v>5.0793660952382991E-3</v>
      </c>
      <c r="E71" s="30">
        <f>IFERROR(E29/$B57,0)</f>
        <v>1.0330860416454327E-2</v>
      </c>
      <c r="F71" s="30">
        <f>IFERROR(F29/$B57,0)</f>
        <v>1.9755403378611265</v>
      </c>
      <c r="G71" s="30">
        <f t="shared" si="119"/>
        <v>3.3992965721100156E-3</v>
      </c>
      <c r="H71" s="38">
        <f>IFERROR(up_RadSpec!$I$29*H29,".")*$B$71</f>
        <v>9.8437480312500002E-3</v>
      </c>
      <c r="I71" s="38">
        <f>IFERROR(up_RadSpec!$G$29*I29,".")*$B$71</f>
        <v>4.8398679281701686E-3</v>
      </c>
      <c r="J71" s="38">
        <f>IFERROR(up_RadSpec!$F$29*J29,".")*$B$71</f>
        <v>2.5309531292149619E-5</v>
      </c>
      <c r="K71" s="47">
        <f t="shared" si="120"/>
        <v>9.8437480312500002E-3</v>
      </c>
      <c r="L71" s="47">
        <f t="shared" si="120"/>
        <v>4.8398679281701686E-3</v>
      </c>
      <c r="M71" s="47">
        <f t="shared" si="120"/>
        <v>2.5309531292149619E-5</v>
      </c>
      <c r="N71" s="47">
        <f t="shared" si="121"/>
        <v>1.4601277686980496E-2</v>
      </c>
      <c r="O71" s="30">
        <f>IFERROR(O29/$B57,0)</f>
        <v>5.0793660952382991E-3</v>
      </c>
      <c r="P71" s="30">
        <f>IFERROR(P29/$B57,0)</f>
        <v>6.49748798321821E-2</v>
      </c>
      <c r="Q71" s="30">
        <f>IFERROR(Q29/$B57,0)</f>
        <v>1.9755403378611265</v>
      </c>
      <c r="R71" s="30">
        <f t="shared" si="122"/>
        <v>4.6998728293416924E-3</v>
      </c>
      <c r="S71" s="38">
        <f>IFERROR(up_RadSpec!$I$29*S29,".")*$B$71</f>
        <v>9.8437480312500002E-3</v>
      </c>
      <c r="T71" s="38">
        <f>IFERROR(up_RadSpec!$G$29*T29,".")*$B$71</f>
        <v>7.695281642557955E-4</v>
      </c>
      <c r="U71" s="38">
        <f>IFERROR(up_RadSpec!$F$29*U29,".")*$B$71</f>
        <v>2.5309531292149619E-5</v>
      </c>
      <c r="V71" s="47">
        <f t="shared" si="123"/>
        <v>9.8437480312500002E-3</v>
      </c>
      <c r="W71" s="47">
        <f t="shared" si="123"/>
        <v>7.695281642557955E-4</v>
      </c>
      <c r="X71" s="47">
        <f t="shared" si="123"/>
        <v>2.5309531292149619E-5</v>
      </c>
      <c r="Y71" s="47">
        <f t="shared" si="124"/>
        <v>1.0582196119378273E-2</v>
      </c>
      <c r="Z71" s="30">
        <f t="shared" ref="Z71:AD71" si="142">IFERROR(Z29/$B57,0)</f>
        <v>1.9755403378611265</v>
      </c>
      <c r="AA71" s="30">
        <f t="shared" si="142"/>
        <v>3.9421227600202067</v>
      </c>
      <c r="AB71" s="30">
        <f t="shared" si="142"/>
        <v>2.8083514882478253</v>
      </c>
      <c r="AC71" s="30">
        <f t="shared" si="142"/>
        <v>2.3822070698480062</v>
      </c>
      <c r="AD71" s="30">
        <f t="shared" si="142"/>
        <v>7.0787892945457385</v>
      </c>
      <c r="AE71" s="38">
        <f>IFERROR(up_RadSpec!$F$29*AE29,".")*$B$71</f>
        <v>2.5309531292149619E-5</v>
      </c>
      <c r="AF71" s="38">
        <f>IFERROR(up_RadSpec!$M$29*AF29,".")*$B$71</f>
        <v>1.268352180888038E-5</v>
      </c>
      <c r="AG71" s="38">
        <f>IFERROR(up_RadSpec!$N$29*AG29,".")*$B$71</f>
        <v>1.7804039205646512E-5</v>
      </c>
      <c r="AH71" s="38">
        <f>IFERROR(up_RadSpec!$O$29*AH29,".")*$B$71</f>
        <v>2.0988939472499422E-5</v>
      </c>
      <c r="AI71" s="38">
        <f>IFERROR(up_RadSpec!$K$29*AI29,".")*$B$71</f>
        <v>7.0633547517123283E-6</v>
      </c>
      <c r="AJ71" s="47">
        <f t="shared" si="126"/>
        <v>2.5309531292149619E-5</v>
      </c>
      <c r="AK71" s="47">
        <f t="shared" si="126"/>
        <v>1.268352180888038E-5</v>
      </c>
      <c r="AL71" s="47">
        <f t="shared" si="126"/>
        <v>1.7804039205646512E-5</v>
      </c>
      <c r="AM71" s="47">
        <f t="shared" si="126"/>
        <v>2.0988939472499422E-5</v>
      </c>
      <c r="AN71" s="47">
        <f t="shared" si="126"/>
        <v>7.0633547517123283E-6</v>
      </c>
      <c r="AO71" s="30">
        <f t="shared" ref="AO71:AQ71" si="143">IFERROR(AO29/$B57,0)</f>
        <v>2.0317464380953195E-5</v>
      </c>
      <c r="AP71" s="30">
        <f t="shared" si="143"/>
        <v>0.44495246994287496</v>
      </c>
      <c r="AQ71" s="30">
        <f t="shared" si="143"/>
        <v>2.0316536685214146E-5</v>
      </c>
      <c r="AR71" s="38">
        <f>IFERROR(up_RadSpec!$G$29*AR29,".")*$B$71</f>
        <v>2.4609370078124999</v>
      </c>
      <c r="AS71" s="38">
        <f>IFERROR(up_RadSpec!$J$29*AS29,".")*$B$71</f>
        <v>1.123715528681507E-4</v>
      </c>
      <c r="AT71" s="47">
        <f t="shared" si="128"/>
        <v>0.91464506475566254</v>
      </c>
      <c r="AU71" s="47">
        <f t="shared" si="128"/>
        <v>1.123715528681507E-4</v>
      </c>
      <c r="AV71" s="47">
        <f t="shared" si="129"/>
        <v>0.9146546556833971</v>
      </c>
    </row>
    <row r="72" spans="1:48" x14ac:dyDescent="0.25">
      <c r="A72" s="29" t="s">
        <v>314</v>
      </c>
      <c r="B72" s="34">
        <v>1</v>
      </c>
      <c r="C72" s="2"/>
      <c r="D72" s="30">
        <f>IFERROR(D16/$B58,0)</f>
        <v>1.0666666666666667E-6</v>
      </c>
      <c r="E72" s="30">
        <f>IFERROR(E16/$B58,0)</f>
        <v>2.1694802535592709E-6</v>
      </c>
      <c r="F72" s="30">
        <f>IFERROR(F16/$B58,0)</f>
        <v>11.21921097770155</v>
      </c>
      <c r="G72" s="30">
        <f t="shared" si="119"/>
        <v>7.15082528702475E-7</v>
      </c>
      <c r="H72" s="38">
        <f>IFERROR(up_RadSpec!$I$16*H16,".")*$B$72</f>
        <v>46.875</v>
      </c>
      <c r="I72" s="38">
        <f>IFERROR(up_RadSpec!$G$16*I16,".")*$B$72</f>
        <v>23.046994743542612</v>
      </c>
      <c r="J72" s="38">
        <f>IFERROR(up_RadSpec!$F$16*J16,".")*$B$72</f>
        <v>4.4566413894324839E-6</v>
      </c>
      <c r="K72" s="47">
        <f t="shared" si="120"/>
        <v>1</v>
      </c>
      <c r="L72" s="47">
        <f t="shared" si="120"/>
        <v>0.99999999990209221</v>
      </c>
      <c r="M72" s="47">
        <f t="shared" si="120"/>
        <v>4.4566413894324839E-6</v>
      </c>
      <c r="N72" s="47">
        <f t="shared" si="121"/>
        <v>1</v>
      </c>
      <c r="O72" s="30">
        <f>IFERROR(O16/$B58,0)</f>
        <v>1.0666666666666667E-6</v>
      </c>
      <c r="P72" s="30">
        <f>IFERROR(P16/$B58,0)</f>
        <v>1.3644722035813288E-5</v>
      </c>
      <c r="Q72" s="30">
        <f>IFERROR(Q16/$B58,0)</f>
        <v>11.21921097770155</v>
      </c>
      <c r="R72" s="30">
        <f t="shared" si="122"/>
        <v>9.8932664906439187E-7</v>
      </c>
      <c r="S72" s="38">
        <f>IFERROR(up_RadSpec!$I$16*S16,".")*$B$72</f>
        <v>46.875</v>
      </c>
      <c r="T72" s="38">
        <f>IFERROR(up_RadSpec!$G$16*T16,".")*$B$72</f>
        <v>3.664420562673615</v>
      </c>
      <c r="U72" s="38">
        <f>IFERROR(up_RadSpec!$F$16*U16,".")*$B$72</f>
        <v>4.4566413894324839E-6</v>
      </c>
      <c r="V72" s="47">
        <f t="shared" si="123"/>
        <v>1</v>
      </c>
      <c r="W72" s="47">
        <f t="shared" si="123"/>
        <v>0.97438098840463438</v>
      </c>
      <c r="X72" s="47">
        <f t="shared" si="123"/>
        <v>4.4566413894324839E-6</v>
      </c>
      <c r="Y72" s="47">
        <f t="shared" si="124"/>
        <v>1</v>
      </c>
      <c r="Z72" s="30">
        <f t="shared" ref="Z72:AD72" si="144">IFERROR(Z16/$B58,0)</f>
        <v>11.21921097770155</v>
      </c>
      <c r="AA72" s="30">
        <f t="shared" si="144"/>
        <v>19.981029810298111</v>
      </c>
      <c r="AB72" s="30">
        <f t="shared" si="144"/>
        <v>12.003402482423406</v>
      </c>
      <c r="AC72" s="30">
        <f t="shared" si="144"/>
        <v>12.065423242467727</v>
      </c>
      <c r="AD72" s="30">
        <f t="shared" si="144"/>
        <v>467.2</v>
      </c>
      <c r="AE72" s="38">
        <f>IFERROR(up_RadSpec!$F$16*AE16,".")*$B$72</f>
        <v>4.4566413894324839E-6</v>
      </c>
      <c r="AF72" s="38">
        <f>IFERROR(up_RadSpec!$M$16*AF16,".")*$B$72</f>
        <v>2.5023735250237347E-6</v>
      </c>
      <c r="AG72" s="38">
        <f>IFERROR(up_RadSpec!$N$16*AG16,".")*$B$72</f>
        <v>4.1654855840429458E-6</v>
      </c>
      <c r="AH72" s="38">
        <f>IFERROR(up_RadSpec!$O$16*AH16,".")*$B$72</f>
        <v>4.1440734398782323E-6</v>
      </c>
      <c r="AI72" s="38">
        <f>IFERROR(up_RadSpec!$K$16*AI16,".")*$B$72</f>
        <v>1.0702054794520548E-7</v>
      </c>
      <c r="AJ72" s="47">
        <f t="shared" si="126"/>
        <v>4.4566413894324839E-6</v>
      </c>
      <c r="AK72" s="47">
        <f t="shared" si="126"/>
        <v>2.5023735250237347E-6</v>
      </c>
      <c r="AL72" s="47">
        <f t="shared" si="126"/>
        <v>4.1654855840429458E-6</v>
      </c>
      <c r="AM72" s="47">
        <f t="shared" si="126"/>
        <v>4.1440734398782323E-6</v>
      </c>
      <c r="AN72" s="47">
        <f t="shared" si="126"/>
        <v>1.0702054794520548E-7</v>
      </c>
      <c r="AO72" s="30">
        <f t="shared" ref="AO72:AQ72" si="145">IFERROR(AO16/$B58,0)</f>
        <v>4.2666666666666668E-9</v>
      </c>
      <c r="AP72" s="30">
        <f t="shared" si="145"/>
        <v>9.344E-5</v>
      </c>
      <c r="AQ72" s="30">
        <f t="shared" si="145"/>
        <v>4.2664718506004295E-9</v>
      </c>
      <c r="AR72" s="38">
        <f>IFERROR(up_RadSpec!$G$16*AR16,".")*$B$72</f>
        <v>11718.75</v>
      </c>
      <c r="AS72" s="38">
        <f>IFERROR(up_RadSpec!$J$16*AS16,".")*$B$72</f>
        <v>0.53510273972602751</v>
      </c>
      <c r="AT72" s="47">
        <f t="shared" si="128"/>
        <v>1</v>
      </c>
      <c r="AU72" s="47">
        <f t="shared" si="128"/>
        <v>0.41439087826672238</v>
      </c>
      <c r="AV72" s="47">
        <f t="shared" si="129"/>
        <v>1</v>
      </c>
    </row>
    <row r="73" spans="1:48" x14ac:dyDescent="0.25">
      <c r="A73" s="29" t="s">
        <v>315</v>
      </c>
      <c r="B73" s="34">
        <v>1</v>
      </c>
      <c r="C73" s="2"/>
      <c r="D73" s="30">
        <f>IFERROR(D7/$B59,0)</f>
        <v>1.0666666666666667E-6</v>
      </c>
      <c r="E73" s="30">
        <f>IFERROR(E7/$B59,0)</f>
        <v>2.1694802535592709E-6</v>
      </c>
      <c r="F73" s="30">
        <f>IFERROR(F7/$B59,0)</f>
        <v>1.3470364963503645E-3</v>
      </c>
      <c r="G73" s="30">
        <f t="shared" si="119"/>
        <v>7.1470316972493746E-7</v>
      </c>
      <c r="H73" s="38">
        <f>IFERROR(up_RadSpec!$I$7*H7,".")*$B$73</f>
        <v>46.875</v>
      </c>
      <c r="I73" s="38">
        <f>IFERROR(up_RadSpec!$G$7*I7,".")*$B$73</f>
        <v>23.046994743542612</v>
      </c>
      <c r="J73" s="38">
        <f>IFERROR(up_RadSpec!$F$7*J7,".")*$B$73</f>
        <v>3.7118519160742172E-2</v>
      </c>
      <c r="K73" s="47">
        <f t="shared" si="120"/>
        <v>1</v>
      </c>
      <c r="L73" s="47">
        <f t="shared" si="120"/>
        <v>0.99999999990209221</v>
      </c>
      <c r="M73" s="47">
        <f t="shared" si="120"/>
        <v>3.6438071969723929E-2</v>
      </c>
      <c r="N73" s="47">
        <f t="shared" si="121"/>
        <v>1</v>
      </c>
      <c r="O73" s="30">
        <f>IFERROR(O7/$B59,0)</f>
        <v>1.0666666666666667E-6</v>
      </c>
      <c r="P73" s="30">
        <f>IFERROR(P7/$B59,0)</f>
        <v>1.3644722035813288E-5</v>
      </c>
      <c r="Q73" s="30">
        <f>IFERROR(Q7/$B59,0)</f>
        <v>1.3470364963503645E-3</v>
      </c>
      <c r="R73" s="30">
        <f t="shared" si="122"/>
        <v>9.8860066164469066E-7</v>
      </c>
      <c r="S73" s="38">
        <f>IFERROR(up_RadSpec!$I$7*S7,".")*$B$73</f>
        <v>46.875</v>
      </c>
      <c r="T73" s="38">
        <f>IFERROR(up_RadSpec!$G$7*T7,".")*$B$73</f>
        <v>3.664420562673615</v>
      </c>
      <c r="U73" s="38">
        <f>IFERROR(up_RadSpec!$F$7*U7,".")*$B$73</f>
        <v>3.7118519160742172E-2</v>
      </c>
      <c r="V73" s="47">
        <f t="shared" si="123"/>
        <v>1</v>
      </c>
      <c r="W73" s="47">
        <f t="shared" si="123"/>
        <v>0.97438098840463438</v>
      </c>
      <c r="X73" s="47">
        <f t="shared" si="123"/>
        <v>3.6438071969723929E-2</v>
      </c>
      <c r="Y73" s="47">
        <f t="shared" si="124"/>
        <v>1</v>
      </c>
      <c r="Z73" s="30">
        <f t="shared" ref="Z73:AD73" si="146">IFERROR(Z7/$B59,0)</f>
        <v>1.3470364963503645E-3</v>
      </c>
      <c r="AA73" s="30">
        <f t="shared" si="146"/>
        <v>2.1429691876750706E-3</v>
      </c>
      <c r="AB73" s="30">
        <f t="shared" si="146"/>
        <v>1.57E-3</v>
      </c>
      <c r="AC73" s="30">
        <f t="shared" si="146"/>
        <v>1.4442466086111781E-3</v>
      </c>
      <c r="AD73" s="30">
        <f t="shared" si="146"/>
        <v>3.6672880061115348E-3</v>
      </c>
      <c r="AE73" s="38">
        <f>IFERROR(up_RadSpec!$F$7*AE7,".")*$B$73</f>
        <v>3.7118519160742172E-2</v>
      </c>
      <c r="AF73" s="38">
        <f>IFERROR(up_RadSpec!$M$7*AF7,".")*$B$73</f>
        <v>2.3332113353550132E-2</v>
      </c>
      <c r="AG73" s="38">
        <f>IFERROR(up_RadSpec!$N$7*AG7,".")*$B$73</f>
        <v>3.1847133757961783E-2</v>
      </c>
      <c r="AH73" s="38">
        <f>IFERROR(up_RadSpec!$O$7*AH7,".")*$B$73</f>
        <v>3.4620126301062391E-2</v>
      </c>
      <c r="AI73" s="38">
        <f>IFERROR(up_RadSpec!$K$7*AI7,".")*$B$73</f>
        <v>1.3634053261340538E-2</v>
      </c>
      <c r="AJ73" s="47">
        <f t="shared" si="126"/>
        <v>3.6438071969723929E-2</v>
      </c>
      <c r="AK73" s="47">
        <f t="shared" si="126"/>
        <v>2.3062024257799574E-2</v>
      </c>
      <c r="AL73" s="47">
        <f t="shared" si="126"/>
        <v>3.1345354642560608E-2</v>
      </c>
      <c r="AM73" s="47">
        <f t="shared" si="126"/>
        <v>3.4027705962047627E-2</v>
      </c>
      <c r="AN73" s="47">
        <f t="shared" si="126"/>
        <v>1.3541530521139933E-2</v>
      </c>
      <c r="AO73" s="30">
        <f t="shared" ref="AO73:AQ73" si="147">IFERROR(AO7/$B59,0)</f>
        <v>4.2666666666666668E-9</v>
      </c>
      <c r="AP73" s="30">
        <f t="shared" si="147"/>
        <v>9.344E-5</v>
      </c>
      <c r="AQ73" s="30">
        <f t="shared" si="147"/>
        <v>4.2664718506004295E-9</v>
      </c>
      <c r="AR73" s="38">
        <f>IFERROR(up_RadSpec!$G$7*AR7,".")*$B$73</f>
        <v>11718.75</v>
      </c>
      <c r="AS73" s="38">
        <f>IFERROR(up_RadSpec!$J$7*AS7,".")*$B$73</f>
        <v>0.53510273972602751</v>
      </c>
      <c r="AT73" s="47">
        <f t="shared" si="128"/>
        <v>1</v>
      </c>
      <c r="AU73" s="47">
        <f t="shared" si="128"/>
        <v>0.41439087826672238</v>
      </c>
      <c r="AV73" s="47">
        <f t="shared" si="129"/>
        <v>1</v>
      </c>
    </row>
    <row r="74" spans="1:48" x14ac:dyDescent="0.25">
      <c r="A74" s="29" t="s">
        <v>316</v>
      </c>
      <c r="B74" s="36">
        <v>1.9000000000000001E-8</v>
      </c>
      <c r="C74" s="2"/>
      <c r="D74" s="30">
        <f>IFERROR(D12/$B60,0)</f>
        <v>56.140350877192979</v>
      </c>
      <c r="E74" s="30">
        <f>IFERROR(E12/$B60,0)</f>
        <v>114.18317123996161</v>
      </c>
      <c r="F74" s="30">
        <f>IFERROR(F12/$B60,0)</f>
        <v>55024.746772591847</v>
      </c>
      <c r="G74" s="30">
        <f t="shared" si="119"/>
        <v>37.610200269882192</v>
      </c>
      <c r="H74" s="38">
        <f>IFERROR(up_RadSpec!$I$12*H12,".")*$B$74</f>
        <v>8.9062500000000005E-7</v>
      </c>
      <c r="I74" s="38">
        <f>IFERROR(up_RadSpec!$G$12*I12,".")*$B$74</f>
        <v>4.3789290012730968E-7</v>
      </c>
      <c r="J74" s="38">
        <f>IFERROR(up_RadSpec!$F$12*J12,".")*$B$74</f>
        <v>9.0868205548753742E-10</v>
      </c>
      <c r="K74" s="47">
        <f t="shared" si="120"/>
        <v>8.9062500000000005E-7</v>
      </c>
      <c r="L74" s="47">
        <f t="shared" si="120"/>
        <v>4.3789290012730968E-7</v>
      </c>
      <c r="M74" s="47">
        <f t="shared" si="120"/>
        <v>9.0868205548753742E-10</v>
      </c>
      <c r="N74" s="47">
        <f t="shared" si="121"/>
        <v>1.3294265821827971E-6</v>
      </c>
      <c r="O74" s="30">
        <f>IFERROR(O12/$B60,0)</f>
        <v>56.140350877192979</v>
      </c>
      <c r="P74" s="30">
        <f>IFERROR(P12/$B60,0)</f>
        <v>718.14326504280461</v>
      </c>
      <c r="Q74" s="30">
        <f>IFERROR(Q12/$B60,0)</f>
        <v>55024.746772591847</v>
      </c>
      <c r="R74" s="30">
        <f t="shared" si="122"/>
        <v>52.020601216381628</v>
      </c>
      <c r="S74" s="38">
        <f>IFERROR(up_RadSpec!$I$12*S12,".")*$B$74</f>
        <v>8.9062500000000005E-7</v>
      </c>
      <c r="T74" s="38">
        <f>IFERROR(up_RadSpec!$G$12*T12,".")*$B$74</f>
        <v>6.9623990690798692E-8</v>
      </c>
      <c r="U74" s="38">
        <f>IFERROR(up_RadSpec!$F$12*U12,".")*$B$74</f>
        <v>9.0868205548753742E-10</v>
      </c>
      <c r="V74" s="47">
        <f t="shared" si="123"/>
        <v>8.9062500000000005E-7</v>
      </c>
      <c r="W74" s="47">
        <f t="shared" si="123"/>
        <v>6.9623990690798692E-8</v>
      </c>
      <c r="X74" s="47">
        <f t="shared" si="123"/>
        <v>9.0868205548753742E-10</v>
      </c>
      <c r="Y74" s="47">
        <f t="shared" si="124"/>
        <v>9.611576727462862E-7</v>
      </c>
      <c r="Z74" s="30">
        <f t="shared" ref="Z74:AD74" si="148">IFERROR(Z12/$B60,0)</f>
        <v>55024.746772591847</v>
      </c>
      <c r="AA74" s="30">
        <f t="shared" si="148"/>
        <v>98717.924815581297</v>
      </c>
      <c r="AB74" s="30">
        <f t="shared" si="148"/>
        <v>71579.146664407948</v>
      </c>
      <c r="AC74" s="30">
        <f t="shared" si="148"/>
        <v>63214.36975449053</v>
      </c>
      <c r="AD74" s="30">
        <f t="shared" si="148"/>
        <v>170411.74364482632</v>
      </c>
      <c r="AE74" s="38">
        <f>IFERROR(up_RadSpec!$F$12*AE12,".")*$B$74</f>
        <v>9.0868205548753742E-10</v>
      </c>
      <c r="AF74" s="38">
        <f>IFERROR(up_RadSpec!$M$12*AF12,".")*$B$74</f>
        <v>5.0649362912973405E-10</v>
      </c>
      <c r="AG74" s="38">
        <f>IFERROR(up_RadSpec!$N$12*AG12,".")*$B$74</f>
        <v>6.9852746686713487E-10</v>
      </c>
      <c r="AH74" s="38">
        <f>IFERROR(up_RadSpec!$O$12*AH12,".")*$B$74</f>
        <v>7.9095940043676836E-10</v>
      </c>
      <c r="AI74" s="38">
        <f>IFERROR(up_RadSpec!$K$12*AI12,".")*$B$74</f>
        <v>2.9340700899235235E-10</v>
      </c>
      <c r="AJ74" s="47">
        <f t="shared" si="126"/>
        <v>9.0868205548753742E-10</v>
      </c>
      <c r="AK74" s="47">
        <f t="shared" si="126"/>
        <v>5.0649362912973405E-10</v>
      </c>
      <c r="AL74" s="47">
        <f t="shared" si="126"/>
        <v>6.9852746686713487E-10</v>
      </c>
      <c r="AM74" s="47">
        <f t="shared" si="126"/>
        <v>7.9095940043676836E-10</v>
      </c>
      <c r="AN74" s="47">
        <f t="shared" si="126"/>
        <v>2.9340700899235235E-10</v>
      </c>
      <c r="AO74" s="30">
        <f t="shared" ref="AO74:AQ74" si="149">IFERROR(AO12/$B60,0)</f>
        <v>0.22456140350877193</v>
      </c>
      <c r="AP74" s="30">
        <f t="shared" si="149"/>
        <v>4917.894736842105</v>
      </c>
      <c r="AQ74" s="30">
        <f t="shared" si="149"/>
        <v>0.22455115003160153</v>
      </c>
      <c r="AR74" s="38">
        <f>IFERROR(up_RadSpec!$G$12*AR12,".")*$B$74</f>
        <v>2.2265625000000001E-4</v>
      </c>
      <c r="AS74" s="38">
        <f>IFERROR(up_RadSpec!$J$12*AS12,".")*$B$74</f>
        <v>1.0166952054794524E-8</v>
      </c>
      <c r="AT74" s="47">
        <f t="shared" si="128"/>
        <v>2.2265625000000001E-4</v>
      </c>
      <c r="AU74" s="47">
        <f t="shared" si="128"/>
        <v>1.0166952054794524E-8</v>
      </c>
      <c r="AV74" s="47">
        <f t="shared" si="129"/>
        <v>2.226664169520548E-4</v>
      </c>
    </row>
    <row r="75" spans="1:48" x14ac:dyDescent="0.25">
      <c r="A75" s="29" t="s">
        <v>317</v>
      </c>
      <c r="B75" s="34">
        <v>1</v>
      </c>
      <c r="C75" s="2"/>
      <c r="D75" s="30">
        <f>IFERROR(D18/$B61,0)</f>
        <v>1.0666666666666667E-6</v>
      </c>
      <c r="E75" s="30">
        <f>IFERROR(E18/$B61,0)</f>
        <v>2.1694802535592709E-6</v>
      </c>
      <c r="F75" s="30">
        <f>IFERROR(F18/$B61,0)</f>
        <v>5.2534687306501557E-4</v>
      </c>
      <c r="G75" s="30">
        <f t="shared" si="119"/>
        <v>7.1411055362236553E-7</v>
      </c>
      <c r="H75" s="38">
        <f>IFERROR(up_RadSpec!$I$18*H18,".")*$B$75</f>
        <v>46.875</v>
      </c>
      <c r="I75" s="38">
        <f>IFERROR(up_RadSpec!$G$18*I18,".")*$B$75</f>
        <v>23.046994743542612</v>
      </c>
      <c r="J75" s="38">
        <f>IFERROR(up_RadSpec!$F$18*J18,".")*$B$75</f>
        <v>9.517521196668878E-2</v>
      </c>
      <c r="K75" s="47">
        <f t="shared" si="120"/>
        <v>1</v>
      </c>
      <c r="L75" s="47">
        <f t="shared" si="120"/>
        <v>0.99999999990209221</v>
      </c>
      <c r="M75" s="47">
        <f t="shared" si="120"/>
        <v>9.0786384594359615E-2</v>
      </c>
      <c r="N75" s="47">
        <f t="shared" si="121"/>
        <v>1</v>
      </c>
      <c r="O75" s="30">
        <f>IFERROR(O18/$B61,0)</f>
        <v>1.0666666666666667E-6</v>
      </c>
      <c r="P75" s="30">
        <f>IFERROR(P18/$B61,0)</f>
        <v>1.3644722035813288E-5</v>
      </c>
      <c r="Q75" s="30">
        <f>IFERROR(Q18/$B61,0)</f>
        <v>5.2534687306501557E-4</v>
      </c>
      <c r="R75" s="30">
        <f t="shared" si="122"/>
        <v>9.8746715037551186E-7</v>
      </c>
      <c r="S75" s="38">
        <f>IFERROR(up_RadSpec!$I$18*S18,".")*$B$75</f>
        <v>46.875</v>
      </c>
      <c r="T75" s="38">
        <f>IFERROR(up_RadSpec!$G$18*T18,".")*$B$75</f>
        <v>3.664420562673615</v>
      </c>
      <c r="U75" s="38">
        <f>IFERROR(up_RadSpec!$F$18*U18,".")*$B$75</f>
        <v>9.517521196668878E-2</v>
      </c>
      <c r="V75" s="47">
        <f t="shared" si="123"/>
        <v>1</v>
      </c>
      <c r="W75" s="47">
        <f t="shared" si="123"/>
        <v>0.97438098840463438</v>
      </c>
      <c r="X75" s="47">
        <f t="shared" si="123"/>
        <v>9.0786384594359615E-2</v>
      </c>
      <c r="Y75" s="47">
        <f t="shared" si="124"/>
        <v>1</v>
      </c>
      <c r="Z75" s="30">
        <f t="shared" ref="Z75:AD75" si="150">IFERROR(Z18/$B61,0)</f>
        <v>5.2534687306501557E-4</v>
      </c>
      <c r="AA75" s="30">
        <f t="shared" si="150"/>
        <v>1.0395089707271011E-3</v>
      </c>
      <c r="AB75" s="30">
        <f t="shared" si="150"/>
        <v>7.2796352997210319E-4</v>
      </c>
      <c r="AC75" s="30">
        <f t="shared" si="150"/>
        <v>6.0313093172772764E-4</v>
      </c>
      <c r="AD75" s="30">
        <f t="shared" si="150"/>
        <v>1.7669743589743586E-3</v>
      </c>
      <c r="AE75" s="38">
        <f>IFERROR(up_RadSpec!$F$18*AE18,".")*$B$75</f>
        <v>9.517521196668878E-2</v>
      </c>
      <c r="AF75" s="38">
        <f>IFERROR(up_RadSpec!$M$18*AF18,".")*$B$75</f>
        <v>4.8099633007521528E-2</v>
      </c>
      <c r="AG75" s="38">
        <f>IFERROR(up_RadSpec!$N$18*AG18,".")*$B$75</f>
        <v>6.8684759526230779E-2</v>
      </c>
      <c r="AH75" s="38">
        <f>IFERROR(up_RadSpec!$O$18*AH18,".")*$B$75</f>
        <v>8.2900739076289975E-2</v>
      </c>
      <c r="AI75" s="38">
        <f>IFERROR(up_RadSpec!$K$18*AI18,".")*$B$75</f>
        <v>2.8296958439749251E-2</v>
      </c>
      <c r="AJ75" s="47">
        <f t="shared" si="126"/>
        <v>9.0786384594359615E-2</v>
      </c>
      <c r="AK75" s="47">
        <f t="shared" si="126"/>
        <v>4.6961171777675448E-2</v>
      </c>
      <c r="AL75" s="47">
        <f t="shared" si="126"/>
        <v>6.6379051196719496E-2</v>
      </c>
      <c r="AM75" s="47">
        <f t="shared" si="126"/>
        <v>7.955749334072848E-2</v>
      </c>
      <c r="AN75" s="47">
        <f t="shared" si="126"/>
        <v>2.7900349260531421E-2</v>
      </c>
      <c r="AO75" s="30">
        <f t="shared" ref="AO75:AQ75" si="151">IFERROR(AO18/$B61,0)</f>
        <v>4.2666666666666668E-9</v>
      </c>
      <c r="AP75" s="30">
        <f t="shared" si="151"/>
        <v>9.344E-5</v>
      </c>
      <c r="AQ75" s="30">
        <f t="shared" si="151"/>
        <v>4.2664718506004295E-9</v>
      </c>
      <c r="AR75" s="38">
        <f>IFERROR(up_RadSpec!$G$18*AR18,".")*$B$75</f>
        <v>11718.75</v>
      </c>
      <c r="AS75" s="38">
        <f>IFERROR(up_RadSpec!$J$18*AS18,".")*$B$75</f>
        <v>0.53510273972602751</v>
      </c>
      <c r="AT75" s="47">
        <f t="shared" si="128"/>
        <v>1</v>
      </c>
      <c r="AU75" s="47">
        <f t="shared" si="128"/>
        <v>0.41439087826672238</v>
      </c>
      <c r="AV75" s="47">
        <f t="shared" si="129"/>
        <v>1</v>
      </c>
    </row>
    <row r="76" spans="1:48" x14ac:dyDescent="0.25">
      <c r="A76" s="29" t="s">
        <v>318</v>
      </c>
      <c r="B76" s="34">
        <v>1.339E-6</v>
      </c>
      <c r="C76" s="2"/>
      <c r="D76" s="30">
        <f>IFERROR(D27/$B62,0)</f>
        <v>0.79661438884739855</v>
      </c>
      <c r="E76" s="30">
        <f>IFERROR(E27/$B62,0)</f>
        <v>1.6202242371615168</v>
      </c>
      <c r="F76" s="30">
        <f>IFERROR(F27/$B62,0)</f>
        <v>643.88138511865475</v>
      </c>
      <c r="G76" s="30">
        <f t="shared" si="119"/>
        <v>0.53359967774367278</v>
      </c>
      <c r="H76" s="38">
        <f>IFERROR(up_RadSpec!$I$27*H27,".")*$B$76</f>
        <v>6.2765624999999996E-5</v>
      </c>
      <c r="I76" s="38">
        <f>IFERROR(up_RadSpec!$G$27*I27,".")*$B$76</f>
        <v>3.085992596160356E-5</v>
      </c>
      <c r="J76" s="38">
        <f>IFERROR(up_RadSpec!$F$27*J27,".")*$B$76</f>
        <v>7.7654054233585229E-8</v>
      </c>
      <c r="K76" s="47">
        <f t="shared" si="120"/>
        <v>6.2765624999999996E-5</v>
      </c>
      <c r="L76" s="47">
        <f t="shared" si="120"/>
        <v>3.085992596160356E-5</v>
      </c>
      <c r="M76" s="47">
        <f t="shared" si="120"/>
        <v>7.7654054233585229E-8</v>
      </c>
      <c r="N76" s="47">
        <f t="shared" si="121"/>
        <v>9.3703205015837146E-5</v>
      </c>
      <c r="O76" s="30">
        <f>IFERROR(O27/$B62,0)</f>
        <v>0.79661438884739855</v>
      </c>
      <c r="P76" s="30">
        <f>IFERROR(P27/$B62,0)</f>
        <v>10.190233036455032</v>
      </c>
      <c r="Q76" s="30">
        <f>IFERROR(Q27/$B62,0)</f>
        <v>643.88138511865475</v>
      </c>
      <c r="R76" s="30">
        <f t="shared" si="122"/>
        <v>0.73800805340235387</v>
      </c>
      <c r="S76" s="38">
        <f>IFERROR(up_RadSpec!$I$27*S27,".")*$B$76</f>
        <v>6.2765624999999996E-5</v>
      </c>
      <c r="T76" s="38">
        <f>IFERROR(up_RadSpec!$G$27*T27,".")*$B$76</f>
        <v>4.9066591334199706E-6</v>
      </c>
      <c r="U76" s="38">
        <f>IFERROR(up_RadSpec!$F$27*U27,".")*$B$76</f>
        <v>7.7654054233585229E-8</v>
      </c>
      <c r="V76" s="47">
        <f t="shared" si="123"/>
        <v>6.2765624999999996E-5</v>
      </c>
      <c r="W76" s="47">
        <f t="shared" si="123"/>
        <v>4.9066591334199706E-6</v>
      </c>
      <c r="X76" s="47">
        <f t="shared" si="123"/>
        <v>7.7654054233585229E-8</v>
      </c>
      <c r="Y76" s="47">
        <f t="shared" si="124"/>
        <v>6.774993818765356E-5</v>
      </c>
      <c r="Z76" s="30">
        <f t="shared" ref="Z76:AD76" si="152">IFERROR(Z27/$B62,0)</f>
        <v>643.88138511865475</v>
      </c>
      <c r="AA76" s="30">
        <f t="shared" si="152"/>
        <v>1909.8620337250904</v>
      </c>
      <c r="AB76" s="30">
        <f t="shared" si="152"/>
        <v>1170.8890414392033</v>
      </c>
      <c r="AC76" s="30">
        <f t="shared" si="152"/>
        <v>851.77654336466628</v>
      </c>
      <c r="AD76" s="30">
        <f t="shared" si="152"/>
        <v>5974.0149031628007</v>
      </c>
      <c r="AE76" s="38">
        <f>IFERROR(up_RadSpec!$F$27*AE27,".")*$B$76</f>
        <v>7.7654054233585229E-8</v>
      </c>
      <c r="AF76" s="38">
        <f>IFERROR(up_RadSpec!$M$27*AF27,".")*$B$76</f>
        <v>2.6179901541095882E-8</v>
      </c>
      <c r="AG76" s="38">
        <f>IFERROR(up_RadSpec!$N$27*AG27,".")*$B$76</f>
        <v>4.2702594550327581E-8</v>
      </c>
      <c r="AH76" s="38">
        <f>IFERROR(up_RadSpec!$O$27*AH27,".")*$B$76</f>
        <v>5.8700841657943836E-8</v>
      </c>
      <c r="AI76" s="38">
        <f>IFERROR(up_RadSpec!$K$27*AI27,".")*$B$76</f>
        <v>8.3695807276156417E-9</v>
      </c>
      <c r="AJ76" s="47">
        <f t="shared" si="126"/>
        <v>7.7654054233585229E-8</v>
      </c>
      <c r="AK76" s="47">
        <f t="shared" si="126"/>
        <v>2.6179901541095882E-8</v>
      </c>
      <c r="AL76" s="47">
        <f t="shared" si="126"/>
        <v>4.2702594550327581E-8</v>
      </c>
      <c r="AM76" s="47">
        <f t="shared" si="126"/>
        <v>5.8700841657943836E-8</v>
      </c>
      <c r="AN76" s="47">
        <f t="shared" si="126"/>
        <v>8.3695807276156417E-9</v>
      </c>
      <c r="AO76" s="30">
        <f t="shared" ref="AO76:AQ76" si="153">IFERROR(AO27/$B62,0)</f>
        <v>3.1864575553895943E-3</v>
      </c>
      <c r="AP76" s="30">
        <f t="shared" si="153"/>
        <v>69.783420463032115</v>
      </c>
      <c r="AQ76" s="30">
        <f t="shared" si="153"/>
        <v>3.1863120616881474E-3</v>
      </c>
      <c r="AR76" s="38">
        <f>IFERROR(up_RadSpec!$G$27*AR27,".")*$B$76</f>
        <v>1.5691406250000001E-2</v>
      </c>
      <c r="AS76" s="38">
        <f>IFERROR(up_RadSpec!$J$27*AS27,".")*$B$76</f>
        <v>7.1650256849315088E-7</v>
      </c>
      <c r="AT76" s="47">
        <f t="shared" si="128"/>
        <v>1.5568937540448191E-2</v>
      </c>
      <c r="AU76" s="47">
        <f t="shared" si="128"/>
        <v>7.1650256849315088E-7</v>
      </c>
      <c r="AV76" s="47">
        <f t="shared" si="129"/>
        <v>1.5569642887580337E-2</v>
      </c>
    </row>
  </sheetData>
  <sheetProtection algorithmName="SHA-512" hashValue="XxlEjN1nCIFLDh5hr8Qb/46rzsW84n0id33V66c4eTVt2IVQ0ULTrCJAu6lukRULZUamRF5RRseZ3kcFOtFwIw==" saltValue="wpXU/naO9uk533M38b+Ahg==" spinCount="100000" sheet="1" formatColumns="0" formatRows="0" autoFilter="0"/>
  <autoFilter ref="A1:AV76" xr:uid="{00000000-0009-0000-0000-000010000000}"/>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AK30"/>
  <sheetViews>
    <sheetView workbookViewId="0">
      <pane xSplit="2" ySplit="1" topLeftCell="C2" activePane="bottomRight" state="frozen"/>
      <selection pane="topRight" activeCell="C1" sqref="C1"/>
      <selection pane="bottomLeft" activeCell="A2" sqref="A2"/>
      <selection pane="bottomRight" activeCell="C2" sqref="C2"/>
    </sheetView>
  </sheetViews>
  <sheetFormatPr defaultColWidth="9.140625" defaultRowHeight="15" x14ac:dyDescent="0.25"/>
  <cols>
    <col min="1" max="1" width="15.42578125" style="3" bestFit="1" customWidth="1"/>
    <col min="2" max="2" width="12" style="3" bestFit="1" customWidth="1"/>
    <col min="3" max="3" width="10.28515625" style="3" bestFit="1" customWidth="1"/>
    <col min="4" max="4" width="8.5703125" style="3" bestFit="1" customWidth="1"/>
    <col min="5" max="6" width="8.5703125" style="4" bestFit="1" customWidth="1"/>
    <col min="7" max="7" width="8.5703125" style="4" customWidth="1"/>
    <col min="8" max="8" width="8.5703125" style="4" bestFit="1" customWidth="1"/>
    <col min="9" max="9" width="9.7109375" style="4" bestFit="1" customWidth="1"/>
    <col min="10" max="10" width="10.85546875" style="4" bestFit="1" customWidth="1"/>
    <col min="11" max="11" width="9.7109375" style="4" bestFit="1" customWidth="1"/>
    <col min="12" max="12" width="10.7109375" style="4" bestFit="1" customWidth="1"/>
    <col min="13" max="14" width="10.5703125" style="4" bestFit="1" customWidth="1"/>
    <col min="15" max="15" width="11.5703125" style="4" bestFit="1" customWidth="1"/>
    <col min="16" max="16" width="9.7109375" style="4" bestFit="1" customWidth="1"/>
    <col min="17" max="17" width="9.5703125" style="1" bestFit="1" customWidth="1"/>
    <col min="18" max="19" width="10.5703125" style="1" bestFit="1" customWidth="1"/>
    <col min="20" max="20" width="11.5703125" style="1" bestFit="1" customWidth="1"/>
    <col min="21" max="21" width="9.85546875" style="1" bestFit="1" customWidth="1"/>
    <col min="22" max="22" width="9.7109375" style="1" bestFit="1" customWidth="1"/>
    <col min="23" max="24" width="10.7109375" style="1" bestFit="1" customWidth="1"/>
    <col min="25" max="25" width="11.7109375" style="1" bestFit="1" customWidth="1"/>
    <col min="26" max="26" width="10.42578125" style="1" bestFit="1" customWidth="1"/>
    <col min="27" max="27" width="10.28515625" style="1" bestFit="1" customWidth="1"/>
    <col min="28" max="29" width="11.28515625" style="1" bestFit="1" customWidth="1"/>
    <col min="30" max="31" width="12.28515625" style="1" bestFit="1" customWidth="1"/>
    <col min="32" max="32" width="10.5703125" style="1" bestFit="1" customWidth="1"/>
    <col min="33" max="33" width="8.5703125" style="1" bestFit="1" customWidth="1"/>
    <col min="34" max="34" width="11.85546875" style="1" bestFit="1" customWidth="1"/>
    <col min="35" max="35" width="11" style="1" bestFit="1" customWidth="1"/>
    <col min="36" max="36" width="12" style="1" bestFit="1" customWidth="1"/>
    <col min="37" max="37" width="8.42578125" style="2" bestFit="1" customWidth="1"/>
    <col min="38" max="16384" width="9.140625" style="2"/>
  </cols>
  <sheetData>
    <row r="1" spans="1:37" s="6" customFormat="1" x14ac:dyDescent="0.25">
      <c r="A1" s="21" t="s">
        <v>51</v>
      </c>
      <c r="B1" s="21" t="s">
        <v>274</v>
      </c>
      <c r="C1" s="49" t="s">
        <v>278</v>
      </c>
      <c r="D1" s="50" t="s">
        <v>0</v>
      </c>
      <c r="E1" s="50" t="s">
        <v>1</v>
      </c>
      <c r="F1" s="50" t="s">
        <v>2</v>
      </c>
      <c r="G1" s="51" t="s">
        <v>3</v>
      </c>
      <c r="H1" s="50" t="s">
        <v>4</v>
      </c>
      <c r="I1" s="50" t="s">
        <v>5</v>
      </c>
      <c r="J1" s="50" t="s">
        <v>6</v>
      </c>
      <c r="K1" s="50" t="s">
        <v>7</v>
      </c>
      <c r="L1" s="50" t="s">
        <v>8</v>
      </c>
      <c r="M1" s="50" t="s">
        <v>9</v>
      </c>
      <c r="N1" s="50" t="s">
        <v>10</v>
      </c>
      <c r="O1" s="50" t="s">
        <v>11</v>
      </c>
      <c r="P1" s="50" t="s">
        <v>41</v>
      </c>
      <c r="Q1" s="50" t="s">
        <v>42</v>
      </c>
      <c r="R1" s="50" t="s">
        <v>43</v>
      </c>
      <c r="S1" s="50" t="s">
        <v>44</v>
      </c>
      <c r="T1" s="50" t="s">
        <v>45</v>
      </c>
      <c r="U1" s="50" t="s">
        <v>46</v>
      </c>
      <c r="V1" s="50" t="s">
        <v>47</v>
      </c>
      <c r="W1" s="50" t="s">
        <v>48</v>
      </c>
      <c r="X1" s="50" t="s">
        <v>49</v>
      </c>
      <c r="Y1" s="50" t="s">
        <v>50</v>
      </c>
      <c r="Z1" s="50" t="s">
        <v>279</v>
      </c>
      <c r="AA1" s="50" t="s">
        <v>280</v>
      </c>
      <c r="AB1" s="50" t="s">
        <v>281</v>
      </c>
      <c r="AC1" s="50" t="s">
        <v>282</v>
      </c>
      <c r="AD1" s="50" t="s">
        <v>283</v>
      </c>
      <c r="AE1" s="52" t="s">
        <v>269</v>
      </c>
      <c r="AF1" s="52" t="s">
        <v>270</v>
      </c>
      <c r="AG1" s="53" t="s">
        <v>86</v>
      </c>
      <c r="AH1" s="53" t="s">
        <v>271</v>
      </c>
      <c r="AI1" s="53" t="s">
        <v>272</v>
      </c>
      <c r="AJ1" s="54" t="s">
        <v>276</v>
      </c>
      <c r="AK1" s="54" t="s">
        <v>277</v>
      </c>
    </row>
    <row r="2" spans="1:37" x14ac:dyDescent="0.25">
      <c r="A2" s="23" t="s">
        <v>12</v>
      </c>
      <c r="B2" s="24" t="s">
        <v>289</v>
      </c>
      <c r="C2" s="24"/>
      <c r="D2" s="22">
        <v>4.8839999999999999E-10</v>
      </c>
      <c r="E2" s="22">
        <v>2.7158000000000001E-10</v>
      </c>
      <c r="F2" s="22">
        <v>4.1217381359999998E-8</v>
      </c>
      <c r="G2" s="22">
        <v>2.8564E-8</v>
      </c>
      <c r="H2" s="22">
        <v>1.8907E-10</v>
      </c>
      <c r="I2" s="22">
        <v>9.0279999999999997E-11</v>
      </c>
      <c r="J2" s="22">
        <v>5.1492535920000001E-11</v>
      </c>
      <c r="K2" s="22">
        <v>1.202660136E-8</v>
      </c>
      <c r="L2" s="22">
        <v>1.1407756824E-13</v>
      </c>
      <c r="M2" s="22">
        <v>1.1545537305600001E-8</v>
      </c>
      <c r="N2" s="22">
        <v>2.9891358720000003E-8</v>
      </c>
      <c r="O2" s="22">
        <v>4.0166513280000001E-8</v>
      </c>
      <c r="P2" s="22">
        <v>1</v>
      </c>
      <c r="Q2" s="22">
        <v>1</v>
      </c>
      <c r="R2" s="22">
        <v>1</v>
      </c>
      <c r="S2" s="22">
        <v>1</v>
      </c>
      <c r="T2" s="22">
        <v>1</v>
      </c>
      <c r="U2" s="22">
        <v>1</v>
      </c>
      <c r="V2" s="22">
        <v>1</v>
      </c>
      <c r="W2" s="22">
        <v>1</v>
      </c>
      <c r="X2" s="22">
        <v>1</v>
      </c>
      <c r="Y2" s="22">
        <v>1</v>
      </c>
      <c r="Z2" s="55">
        <f t="shared" ref="Z2:AD3" si="0">0.4*U2</f>
        <v>0.4</v>
      </c>
      <c r="AA2" s="55">
        <f t="shared" si="0"/>
        <v>0.4</v>
      </c>
      <c r="AB2" s="55">
        <f t="shared" si="0"/>
        <v>0.4</v>
      </c>
      <c r="AC2" s="55">
        <f t="shared" si="0"/>
        <v>0.4</v>
      </c>
      <c r="AD2" s="55">
        <f t="shared" si="0"/>
        <v>0.4</v>
      </c>
      <c r="AE2" s="22">
        <v>2.7397260273972601E-2</v>
      </c>
      <c r="AF2" s="22">
        <v>225</v>
      </c>
      <c r="AG2" s="22">
        <v>1700</v>
      </c>
      <c r="AH2" s="22">
        <v>5.0000000000000001E-4</v>
      </c>
      <c r="AI2" s="22">
        <v>25.294499999999999</v>
      </c>
      <c r="AJ2" s="24">
        <v>15</v>
      </c>
      <c r="AK2" s="24">
        <v>225</v>
      </c>
    </row>
    <row r="3" spans="1:37" x14ac:dyDescent="0.25">
      <c r="A3" s="25" t="s">
        <v>13</v>
      </c>
      <c r="B3" s="24" t="s">
        <v>275</v>
      </c>
      <c r="C3" s="24"/>
      <c r="D3" s="22">
        <v>1.8425999999999999E-10</v>
      </c>
      <c r="E3" s="22">
        <v>1.3357000000000001E-10</v>
      </c>
      <c r="F3" s="22">
        <v>2.767285944E-8</v>
      </c>
      <c r="G3" s="22">
        <v>3.7739999999999999E-8</v>
      </c>
      <c r="H3" s="22">
        <v>1.036E-10</v>
      </c>
      <c r="I3" s="22">
        <v>9.1019999999999999E-11</v>
      </c>
      <c r="J3" s="22">
        <v>5.8031270640000001E-11</v>
      </c>
      <c r="K3" s="22">
        <v>1.86820992E-8</v>
      </c>
      <c r="L3" s="22">
        <v>1.319423256E-13</v>
      </c>
      <c r="M3" s="22">
        <v>1.3754695536000001E-8</v>
      </c>
      <c r="N3" s="22">
        <v>2.5781296896000001E-8</v>
      </c>
      <c r="O3" s="22">
        <v>2.767285944E-8</v>
      </c>
      <c r="P3" s="22">
        <v>1</v>
      </c>
      <c r="Q3" s="22">
        <v>1</v>
      </c>
      <c r="R3" s="22">
        <v>1</v>
      </c>
      <c r="S3" s="22">
        <v>1</v>
      </c>
      <c r="T3" s="22">
        <v>1</v>
      </c>
      <c r="U3" s="22">
        <v>1</v>
      </c>
      <c r="V3" s="22">
        <v>1</v>
      </c>
      <c r="W3" s="22">
        <v>1</v>
      </c>
      <c r="X3" s="22">
        <v>1</v>
      </c>
      <c r="Y3" s="22">
        <v>1</v>
      </c>
      <c r="Z3" s="55">
        <f t="shared" si="0"/>
        <v>0.4</v>
      </c>
      <c r="AA3" s="55">
        <f t="shared" si="0"/>
        <v>0.4</v>
      </c>
      <c r="AB3" s="55">
        <f t="shared" si="0"/>
        <v>0.4</v>
      </c>
      <c r="AC3" s="55">
        <f t="shared" si="0"/>
        <v>0.4</v>
      </c>
      <c r="AD3" s="55">
        <f t="shared" si="0"/>
        <v>0.4</v>
      </c>
      <c r="AE3" s="22">
        <v>432.2</v>
      </c>
      <c r="AF3" s="22">
        <v>241</v>
      </c>
      <c r="AG3" s="22">
        <v>4</v>
      </c>
      <c r="AH3" s="22">
        <v>5.0000000000000001E-4</v>
      </c>
      <c r="AI3" s="22">
        <v>1.60342434058306E-3</v>
      </c>
      <c r="AJ3" s="24">
        <v>15</v>
      </c>
      <c r="AK3" s="24">
        <v>241</v>
      </c>
    </row>
    <row r="4" spans="1:37" x14ac:dyDescent="0.25">
      <c r="A4" s="23" t="s">
        <v>14</v>
      </c>
      <c r="B4" s="24" t="s">
        <v>289</v>
      </c>
      <c r="C4" s="24"/>
      <c r="D4" s="22">
        <v>0</v>
      </c>
      <c r="E4" s="22">
        <v>0</v>
      </c>
      <c r="F4" s="22">
        <v>9.364402224000001E-10</v>
      </c>
      <c r="G4" s="22">
        <v>0</v>
      </c>
      <c r="H4" s="22">
        <v>0</v>
      </c>
      <c r="I4" s="22">
        <v>0</v>
      </c>
      <c r="J4" s="22">
        <v>9.7613968320000008E-13</v>
      </c>
      <c r="K4" s="22">
        <v>2.125088784E-10</v>
      </c>
      <c r="L4" s="22">
        <v>2.1367650959999998E-15</v>
      </c>
      <c r="M4" s="22">
        <v>2.1671235072E-10</v>
      </c>
      <c r="N4" s="22">
        <v>5.9782717440000002E-10</v>
      </c>
      <c r="O4" s="22">
        <v>8.7805866240000002E-10</v>
      </c>
      <c r="P4" s="22">
        <v>1</v>
      </c>
      <c r="Q4" s="22">
        <v>1</v>
      </c>
      <c r="R4" s="22">
        <v>1</v>
      </c>
      <c r="S4" s="22">
        <v>1</v>
      </c>
      <c r="T4" s="22">
        <v>1</v>
      </c>
      <c r="U4" s="22">
        <v>1</v>
      </c>
      <c r="V4" s="22">
        <v>1</v>
      </c>
      <c r="W4" s="22">
        <v>1</v>
      </c>
      <c r="X4" s="22">
        <v>1</v>
      </c>
      <c r="Y4" s="22">
        <v>1</v>
      </c>
      <c r="Z4" s="55">
        <f t="shared" ref="Z4:AD5" si="1">0.4*U4</f>
        <v>0.4</v>
      </c>
      <c r="AA4" s="55">
        <f t="shared" si="1"/>
        <v>0.4</v>
      </c>
      <c r="AB4" s="55">
        <f t="shared" si="1"/>
        <v>0.4</v>
      </c>
      <c r="AC4" s="55">
        <f t="shared" si="1"/>
        <v>0.4</v>
      </c>
      <c r="AD4" s="55">
        <f t="shared" si="1"/>
        <v>0.4</v>
      </c>
      <c r="AE4" s="22">
        <v>1.0242262810756E-9</v>
      </c>
      <c r="AF4" s="22">
        <v>217</v>
      </c>
      <c r="AG4" s="22">
        <v>10</v>
      </c>
      <c r="AH4" s="22"/>
      <c r="AI4" s="22">
        <v>676608297.21362197</v>
      </c>
      <c r="AJ4" s="24">
        <v>15</v>
      </c>
      <c r="AK4" s="24">
        <v>217</v>
      </c>
    </row>
    <row r="5" spans="1:37" x14ac:dyDescent="0.25">
      <c r="A5" s="23" t="s">
        <v>15</v>
      </c>
      <c r="B5" s="24" t="s">
        <v>289</v>
      </c>
      <c r="C5" s="24"/>
      <c r="D5" s="22">
        <v>0</v>
      </c>
      <c r="E5" s="22">
        <v>0</v>
      </c>
      <c r="F5" s="22">
        <v>2.7439333200000001E-11</v>
      </c>
      <c r="G5" s="22">
        <v>0</v>
      </c>
      <c r="H5" s="22">
        <v>0</v>
      </c>
      <c r="I5" s="22">
        <v>0</v>
      </c>
      <c r="J5" s="22">
        <v>3.0825463680000002E-14</v>
      </c>
      <c r="K5" s="22">
        <v>1.9966493520000001E-11</v>
      </c>
      <c r="L5" s="22">
        <v>5.1259009680000003E-17</v>
      </c>
      <c r="M5" s="22">
        <v>8.3882625408000002E-12</v>
      </c>
      <c r="N5" s="22">
        <v>1.8436896648E-11</v>
      </c>
      <c r="O5" s="22">
        <v>2.5571123280000002E-11</v>
      </c>
      <c r="P5" s="22">
        <v>0.9</v>
      </c>
      <c r="Q5" s="22">
        <v>0.9</v>
      </c>
      <c r="R5" s="22">
        <v>0.9</v>
      </c>
      <c r="S5" s="22">
        <v>0.9</v>
      </c>
      <c r="T5" s="22">
        <v>0.9</v>
      </c>
      <c r="U5" s="22">
        <v>1</v>
      </c>
      <c r="V5" s="22">
        <v>1</v>
      </c>
      <c r="W5" s="22">
        <v>1</v>
      </c>
      <c r="X5" s="22">
        <v>1</v>
      </c>
      <c r="Y5" s="22">
        <v>1</v>
      </c>
      <c r="Z5" s="55">
        <f t="shared" si="1"/>
        <v>0.4</v>
      </c>
      <c r="AA5" s="55">
        <f t="shared" si="1"/>
        <v>0.4</v>
      </c>
      <c r="AB5" s="55">
        <f t="shared" si="1"/>
        <v>0.4</v>
      </c>
      <c r="AC5" s="55">
        <f t="shared" si="1"/>
        <v>0.4</v>
      </c>
      <c r="AD5" s="55">
        <f t="shared" si="1"/>
        <v>0.4</v>
      </c>
      <c r="AE5" s="22">
        <v>4.7564687975646899E-8</v>
      </c>
      <c r="AF5" s="22">
        <v>218</v>
      </c>
      <c r="AG5" s="22">
        <v>10</v>
      </c>
      <c r="AH5" s="22"/>
      <c r="AI5" s="22">
        <v>14569632</v>
      </c>
      <c r="AJ5" s="24">
        <v>15</v>
      </c>
      <c r="AK5" s="24">
        <v>218</v>
      </c>
    </row>
    <row r="6" spans="1:37" x14ac:dyDescent="0.25">
      <c r="A6" s="23" t="s">
        <v>16</v>
      </c>
      <c r="B6" s="24" t="s">
        <v>289</v>
      </c>
      <c r="C6" s="24"/>
      <c r="D6" s="22">
        <v>0</v>
      </c>
      <c r="E6" s="22">
        <v>0</v>
      </c>
      <c r="F6" s="22">
        <v>2.6855517600000001E-6</v>
      </c>
      <c r="G6" s="22">
        <v>0</v>
      </c>
      <c r="H6" s="22">
        <v>0</v>
      </c>
      <c r="I6" s="22">
        <v>0</v>
      </c>
      <c r="J6" s="22">
        <v>2.5220833919999999E-9</v>
      </c>
      <c r="K6" s="22">
        <v>5.3594272079999995E-7</v>
      </c>
      <c r="L6" s="22">
        <v>5.4645140159999999E-12</v>
      </c>
      <c r="M6" s="22">
        <v>5.4738550656000004E-7</v>
      </c>
      <c r="N6" s="22">
        <v>1.5436084463999999E-6</v>
      </c>
      <c r="O6" s="22">
        <v>2.3936439600000001E-6</v>
      </c>
      <c r="P6" s="22">
        <v>1</v>
      </c>
      <c r="Q6" s="22">
        <v>1</v>
      </c>
      <c r="R6" s="22">
        <v>1</v>
      </c>
      <c r="S6" s="22">
        <v>1</v>
      </c>
      <c r="T6" s="22">
        <v>1</v>
      </c>
      <c r="U6" s="22">
        <v>1</v>
      </c>
      <c r="V6" s="22">
        <v>1</v>
      </c>
      <c r="W6" s="22">
        <v>1</v>
      </c>
      <c r="X6" s="22">
        <v>1</v>
      </c>
      <c r="Y6" s="22">
        <v>1</v>
      </c>
      <c r="Z6" s="55">
        <f t="shared" ref="Z6:AD7" si="2">0.4*U6</f>
        <v>0.4</v>
      </c>
      <c r="AA6" s="55">
        <f t="shared" si="2"/>
        <v>0.4</v>
      </c>
      <c r="AB6" s="55">
        <f t="shared" si="2"/>
        <v>0.4</v>
      </c>
      <c r="AC6" s="55">
        <f t="shared" si="2"/>
        <v>0.4</v>
      </c>
      <c r="AD6" s="55">
        <f t="shared" si="2"/>
        <v>0.4</v>
      </c>
      <c r="AE6" s="22">
        <v>4.8554033485540298E-6</v>
      </c>
      <c r="AF6" s="22">
        <v>137</v>
      </c>
      <c r="AG6" s="22">
        <v>0.4</v>
      </c>
      <c r="AH6" s="22"/>
      <c r="AI6" s="22">
        <v>142727.58620689699</v>
      </c>
      <c r="AJ6" s="24"/>
      <c r="AK6" s="24">
        <v>137</v>
      </c>
    </row>
    <row r="7" spans="1:37" x14ac:dyDescent="0.25">
      <c r="A7" s="23" t="s">
        <v>17</v>
      </c>
      <c r="B7" s="24" t="s">
        <v>289</v>
      </c>
      <c r="C7" s="24"/>
      <c r="D7" s="22">
        <v>2.4013E-11</v>
      </c>
      <c r="E7" s="22">
        <v>1.3023999999999999E-11</v>
      </c>
      <c r="F7" s="22">
        <v>2.7672859440000002E-9</v>
      </c>
      <c r="G7" s="22">
        <v>4.5510000000000001E-10</v>
      </c>
      <c r="H7" s="22">
        <v>8.9170000000000001E-12</v>
      </c>
      <c r="I7" s="22">
        <v>3.7369999999999999E-12</v>
      </c>
      <c r="J7" s="22">
        <v>5.2893693360000002E-12</v>
      </c>
      <c r="K7" s="22">
        <v>4.8223168560000003E-9</v>
      </c>
      <c r="L7" s="22">
        <v>7.82312904E-15</v>
      </c>
      <c r="M7" s="22">
        <v>9.5465526912000009E-10</v>
      </c>
      <c r="N7" s="22">
        <v>2.0550309120000001E-9</v>
      </c>
      <c r="O7" s="22">
        <v>2.6855517600000001E-9</v>
      </c>
      <c r="P7" s="22">
        <v>1</v>
      </c>
      <c r="Q7" s="22">
        <v>1</v>
      </c>
      <c r="R7" s="22">
        <v>1</v>
      </c>
      <c r="S7" s="22">
        <v>1</v>
      </c>
      <c r="T7" s="22">
        <v>1</v>
      </c>
      <c r="U7" s="22">
        <v>1</v>
      </c>
      <c r="V7" s="22">
        <v>1</v>
      </c>
      <c r="W7" s="22">
        <v>1</v>
      </c>
      <c r="X7" s="22">
        <v>1</v>
      </c>
      <c r="Y7" s="22">
        <v>1</v>
      </c>
      <c r="Z7" s="55">
        <f t="shared" si="2"/>
        <v>0.4</v>
      </c>
      <c r="AA7" s="55">
        <f t="shared" si="2"/>
        <v>0.4</v>
      </c>
      <c r="AB7" s="55">
        <f t="shared" si="2"/>
        <v>0.4</v>
      </c>
      <c r="AC7" s="55">
        <f t="shared" si="2"/>
        <v>0.4</v>
      </c>
      <c r="AD7" s="55">
        <f t="shared" si="2"/>
        <v>0.4</v>
      </c>
      <c r="AE7" s="22">
        <v>1.37342465753425E-2</v>
      </c>
      <c r="AF7" s="22">
        <v>210</v>
      </c>
      <c r="AG7" s="22">
        <v>480</v>
      </c>
      <c r="AH7" s="22">
        <v>0.05</v>
      </c>
      <c r="AI7" s="22">
        <v>50.457809694793497</v>
      </c>
      <c r="AJ7" s="24">
        <v>15</v>
      </c>
      <c r="AK7" s="24">
        <v>210</v>
      </c>
    </row>
    <row r="8" spans="1:37" x14ac:dyDescent="0.25">
      <c r="A8" s="23" t="s">
        <v>18</v>
      </c>
      <c r="B8" s="24" t="s">
        <v>289</v>
      </c>
      <c r="C8" s="24"/>
      <c r="D8" s="22">
        <v>1.1914E-12</v>
      </c>
      <c r="E8" s="22">
        <v>7.1780000000000003E-13</v>
      </c>
      <c r="F8" s="22">
        <v>5.4294850800000002E-7</v>
      </c>
      <c r="G8" s="22">
        <v>7.4000000000000003E-11</v>
      </c>
      <c r="H8" s="22">
        <v>5.0689999999999999E-13</v>
      </c>
      <c r="I8" s="22">
        <v>3.1709000000000002E-13</v>
      </c>
      <c r="J8" s="22">
        <v>5.3243982719999998E-10</v>
      </c>
      <c r="K8" s="22">
        <v>1.2026601359999999E-7</v>
      </c>
      <c r="L8" s="22">
        <v>1.1559548879999999E-12</v>
      </c>
      <c r="M8" s="22">
        <v>1.1769722496E-7</v>
      </c>
      <c r="N8" s="22">
        <v>3.2880494591999999E-7</v>
      </c>
      <c r="O8" s="22">
        <v>4.9741089120000005E-7</v>
      </c>
      <c r="P8" s="22">
        <v>1</v>
      </c>
      <c r="Q8" s="22">
        <v>1</v>
      </c>
      <c r="R8" s="22">
        <v>1</v>
      </c>
      <c r="S8" s="22">
        <v>1</v>
      </c>
      <c r="T8" s="22">
        <v>1</v>
      </c>
      <c r="U8" s="22">
        <v>1</v>
      </c>
      <c r="V8" s="22">
        <v>1</v>
      </c>
      <c r="W8" s="22">
        <v>1</v>
      </c>
      <c r="X8" s="22">
        <v>1</v>
      </c>
      <c r="Y8" s="22">
        <v>1</v>
      </c>
      <c r="Z8" s="55">
        <f t="shared" ref="Z8:AD9" si="3">0.4*U8</f>
        <v>0.4</v>
      </c>
      <c r="AA8" s="55">
        <f t="shared" si="3"/>
        <v>0.4</v>
      </c>
      <c r="AB8" s="55">
        <f t="shared" si="3"/>
        <v>0.4</v>
      </c>
      <c r="AC8" s="55">
        <f t="shared" si="3"/>
        <v>0.4</v>
      </c>
      <c r="AD8" s="55">
        <f t="shared" si="3"/>
        <v>0.4</v>
      </c>
      <c r="AE8" s="22">
        <v>8.6738964992389594E-5</v>
      </c>
      <c r="AF8" s="22">
        <v>213</v>
      </c>
      <c r="AG8" s="22">
        <v>480</v>
      </c>
      <c r="AH8" s="22">
        <v>0.05</v>
      </c>
      <c r="AI8" s="22">
        <v>7989.4889230094304</v>
      </c>
      <c r="AJ8" s="24">
        <v>15</v>
      </c>
      <c r="AK8" s="24">
        <v>213</v>
      </c>
    </row>
    <row r="9" spans="1:37" x14ac:dyDescent="0.25">
      <c r="A9" s="23" t="s">
        <v>19</v>
      </c>
      <c r="B9" s="24" t="s">
        <v>289</v>
      </c>
      <c r="C9" s="24"/>
      <c r="D9" s="22">
        <v>4.0330000000000001E-13</v>
      </c>
      <c r="E9" s="22">
        <v>2.6529000000000002E-13</v>
      </c>
      <c r="F9" s="22">
        <v>7.3444002480000004E-6</v>
      </c>
      <c r="G9" s="22">
        <v>6.1799999999999996E-11</v>
      </c>
      <c r="H9" s="22">
        <v>1.9202999999999999E-13</v>
      </c>
      <c r="I9" s="22">
        <v>1.4726E-13</v>
      </c>
      <c r="J9" s="22">
        <v>6.6905267759999996E-9</v>
      </c>
      <c r="K9" s="22">
        <v>1.2843943200000001E-6</v>
      </c>
      <c r="L9" s="22">
        <v>1.4478626879999999E-11</v>
      </c>
      <c r="M9" s="22">
        <v>1.3264290432000001E-6</v>
      </c>
      <c r="N9" s="22">
        <v>3.8111482368000001E-6</v>
      </c>
      <c r="O9" s="22">
        <v>6.1417401119999998E-6</v>
      </c>
      <c r="P9" s="22">
        <v>1</v>
      </c>
      <c r="Q9" s="22">
        <v>1</v>
      </c>
      <c r="R9" s="22">
        <v>1</v>
      </c>
      <c r="S9" s="22">
        <v>1</v>
      </c>
      <c r="T9" s="22">
        <v>1</v>
      </c>
      <c r="U9" s="22">
        <v>1</v>
      </c>
      <c r="V9" s="22">
        <v>1</v>
      </c>
      <c r="W9" s="22">
        <v>1</v>
      </c>
      <c r="X9" s="22">
        <v>1</v>
      </c>
      <c r="Y9" s="22">
        <v>1</v>
      </c>
      <c r="Z9" s="55">
        <f t="shared" si="3"/>
        <v>0.4</v>
      </c>
      <c r="AA9" s="55">
        <f>0.4*V9</f>
        <v>0.4</v>
      </c>
      <c r="AB9" s="55">
        <f t="shared" si="3"/>
        <v>0.4</v>
      </c>
      <c r="AC9" s="55">
        <f t="shared" si="3"/>
        <v>0.4</v>
      </c>
      <c r="AD9" s="55">
        <f t="shared" si="3"/>
        <v>0.4</v>
      </c>
      <c r="AE9" s="22">
        <v>3.7861491628614902E-5</v>
      </c>
      <c r="AF9" s="22">
        <v>214</v>
      </c>
      <c r="AG9" s="22">
        <v>480</v>
      </c>
      <c r="AH9" s="22">
        <v>0.05</v>
      </c>
      <c r="AI9" s="22">
        <v>18303.557788944701</v>
      </c>
      <c r="AJ9" s="24">
        <v>15</v>
      </c>
      <c r="AK9" s="24">
        <v>214</v>
      </c>
    </row>
    <row r="10" spans="1:37" x14ac:dyDescent="0.25">
      <c r="A10" s="25" t="s">
        <v>20</v>
      </c>
      <c r="B10" s="24" t="s">
        <v>275</v>
      </c>
      <c r="C10" s="24"/>
      <c r="D10" s="22">
        <v>4.2549999999999998E-11</v>
      </c>
      <c r="E10" s="22">
        <v>3.7370000000000003E-11</v>
      </c>
      <c r="F10" s="22">
        <v>5.5228955760000004E-10</v>
      </c>
      <c r="G10" s="22">
        <v>1.1248E-10</v>
      </c>
      <c r="H10" s="22">
        <v>3.0487999999999999E-11</v>
      </c>
      <c r="I10" s="22">
        <v>3.1782999999999999E-11</v>
      </c>
      <c r="J10" s="22">
        <v>1.6230073680000001E-12</v>
      </c>
      <c r="K10" s="22">
        <v>5.5345718879999995E-10</v>
      </c>
      <c r="L10" s="22">
        <v>2.2418519040000001E-15</v>
      </c>
      <c r="M10" s="22">
        <v>1.9242562176E-10</v>
      </c>
      <c r="N10" s="22">
        <v>4.2408365184000002E-10</v>
      </c>
      <c r="O10" s="22">
        <v>5.4178087679999995E-10</v>
      </c>
      <c r="P10" s="22">
        <v>1</v>
      </c>
      <c r="Q10" s="22">
        <v>1</v>
      </c>
      <c r="R10" s="22">
        <v>1</v>
      </c>
      <c r="S10" s="22">
        <v>1</v>
      </c>
      <c r="T10" s="22">
        <v>1</v>
      </c>
      <c r="U10" s="22">
        <v>1</v>
      </c>
      <c r="V10" s="22">
        <v>1</v>
      </c>
      <c r="W10" s="22">
        <v>1</v>
      </c>
      <c r="X10" s="22">
        <v>1</v>
      </c>
      <c r="Y10" s="22">
        <v>1</v>
      </c>
      <c r="Z10" s="55">
        <f t="shared" ref="Z10:AD10" si="4">0.4*U10</f>
        <v>0.4</v>
      </c>
      <c r="AA10" s="55">
        <f t="shared" si="4"/>
        <v>0.4</v>
      </c>
      <c r="AB10" s="55">
        <f t="shared" si="4"/>
        <v>0.4</v>
      </c>
      <c r="AC10" s="55">
        <f t="shared" si="4"/>
        <v>0.4</v>
      </c>
      <c r="AD10" s="55">
        <f t="shared" si="4"/>
        <v>0.4</v>
      </c>
      <c r="AE10" s="22">
        <v>30.167100000000001</v>
      </c>
      <c r="AF10" s="22">
        <v>137</v>
      </c>
      <c r="AG10" s="22">
        <v>10</v>
      </c>
      <c r="AH10" s="22">
        <v>1</v>
      </c>
      <c r="AI10" s="22">
        <v>2.2972045705420802E-2</v>
      </c>
      <c r="AJ10" s="24">
        <v>200</v>
      </c>
      <c r="AK10" s="24">
        <v>137</v>
      </c>
    </row>
    <row r="11" spans="1:37" x14ac:dyDescent="0.25">
      <c r="A11" s="23" t="s">
        <v>21</v>
      </c>
      <c r="B11" s="24" t="s">
        <v>289</v>
      </c>
      <c r="C11" s="24"/>
      <c r="D11" s="22">
        <v>0</v>
      </c>
      <c r="E11" s="22">
        <v>0</v>
      </c>
      <c r="F11" s="22">
        <v>1.0485328176E-7</v>
      </c>
      <c r="G11" s="22">
        <v>0</v>
      </c>
      <c r="H11" s="22">
        <v>0</v>
      </c>
      <c r="I11" s="22">
        <v>0</v>
      </c>
      <c r="J11" s="22">
        <v>1.1524519944E-10</v>
      </c>
      <c r="K11" s="22">
        <v>2.5220833919999999E-8</v>
      </c>
      <c r="L11" s="22">
        <v>2.5337597040000002E-13</v>
      </c>
      <c r="M11" s="22">
        <v>2.5594475903999999E-8</v>
      </c>
      <c r="N11" s="22">
        <v>7.0618334975999998E-8</v>
      </c>
      <c r="O11" s="22">
        <v>1.010000988E-7</v>
      </c>
      <c r="P11" s="22">
        <v>1</v>
      </c>
      <c r="Q11" s="22">
        <v>1</v>
      </c>
      <c r="R11" s="22">
        <v>1</v>
      </c>
      <c r="S11" s="22">
        <v>1</v>
      </c>
      <c r="T11" s="22">
        <v>1</v>
      </c>
      <c r="U11" s="22">
        <v>1</v>
      </c>
      <c r="V11" s="22">
        <v>1</v>
      </c>
      <c r="W11" s="22">
        <v>1</v>
      </c>
      <c r="X11" s="22">
        <v>1</v>
      </c>
      <c r="Y11" s="22">
        <v>1</v>
      </c>
      <c r="Z11" s="55">
        <f t="shared" ref="Z11:AD11" si="5">0.4*U11</f>
        <v>0.4</v>
      </c>
      <c r="AA11" s="55">
        <f t="shared" si="5"/>
        <v>0.4</v>
      </c>
      <c r="AB11" s="55">
        <f t="shared" si="5"/>
        <v>0.4</v>
      </c>
      <c r="AC11" s="55">
        <f t="shared" si="5"/>
        <v>0.4</v>
      </c>
      <c r="AD11" s="55">
        <f t="shared" si="5"/>
        <v>0.4</v>
      </c>
      <c r="AE11" s="22">
        <v>9.3226788432267907E-6</v>
      </c>
      <c r="AF11" s="22">
        <v>221</v>
      </c>
      <c r="AG11" s="22">
        <v>250</v>
      </c>
      <c r="AH11" s="22"/>
      <c r="AI11" s="22">
        <v>74334.857142857101</v>
      </c>
      <c r="AJ11" s="24">
        <v>15</v>
      </c>
      <c r="AK11" s="24">
        <v>221</v>
      </c>
    </row>
    <row r="12" spans="1:37" x14ac:dyDescent="0.25">
      <c r="A12" s="23" t="s">
        <v>22</v>
      </c>
      <c r="B12" s="24" t="s">
        <v>289</v>
      </c>
      <c r="C12" s="24"/>
      <c r="D12" s="22">
        <v>0</v>
      </c>
      <c r="E12" s="22">
        <v>0</v>
      </c>
      <c r="F12" s="22">
        <v>4.8339931680000002E-7</v>
      </c>
      <c r="G12" s="22">
        <v>0</v>
      </c>
      <c r="H12" s="22">
        <v>0</v>
      </c>
      <c r="I12" s="22">
        <v>0</v>
      </c>
      <c r="J12" s="22">
        <v>4.9624325999999998E-10</v>
      </c>
      <c r="K12" s="22">
        <v>1.1174230584E-7</v>
      </c>
      <c r="L12" s="22">
        <v>1.08005886E-12</v>
      </c>
      <c r="M12" s="22">
        <v>1.0985074329599999E-7</v>
      </c>
      <c r="N12" s="22">
        <v>3.0638642687999998E-7</v>
      </c>
      <c r="O12" s="22">
        <v>4.5187327439999998E-7</v>
      </c>
      <c r="P12" s="22">
        <v>1</v>
      </c>
      <c r="Q12" s="22">
        <v>1</v>
      </c>
      <c r="R12" s="22">
        <v>1</v>
      </c>
      <c r="S12" s="22">
        <v>1</v>
      </c>
      <c r="T12" s="22">
        <v>1</v>
      </c>
      <c r="U12" s="22">
        <v>1</v>
      </c>
      <c r="V12" s="22">
        <v>1</v>
      </c>
      <c r="W12" s="22">
        <v>1</v>
      </c>
      <c r="X12" s="22">
        <v>1</v>
      </c>
      <c r="Y12" s="22">
        <v>1</v>
      </c>
      <c r="Z12" s="55">
        <f t="shared" ref="Z12:AD12" si="6">0.4*U12</f>
        <v>0.4</v>
      </c>
      <c r="AA12" s="55">
        <f t="shared" si="6"/>
        <v>0.4</v>
      </c>
      <c r="AB12" s="55">
        <f t="shared" si="6"/>
        <v>0.4</v>
      </c>
      <c r="AC12" s="55">
        <f t="shared" si="6"/>
        <v>0.4</v>
      </c>
      <c r="AD12" s="55">
        <f t="shared" si="6"/>
        <v>0.4</v>
      </c>
      <c r="AE12" s="22">
        <v>1.5506088280060901E-5</v>
      </c>
      <c r="AF12" s="22">
        <v>206</v>
      </c>
      <c r="AG12" s="22">
        <v>6300</v>
      </c>
      <c r="AH12" s="22"/>
      <c r="AI12" s="22">
        <v>44692.122699386498</v>
      </c>
      <c r="AJ12" s="24"/>
      <c r="AK12" s="24">
        <v>206</v>
      </c>
    </row>
    <row r="13" spans="1:37" x14ac:dyDescent="0.25">
      <c r="A13" s="23" t="s">
        <v>23</v>
      </c>
      <c r="B13" s="24" t="s">
        <v>289</v>
      </c>
      <c r="C13" s="24"/>
      <c r="D13" s="22">
        <v>1.2469000000000001E-10</v>
      </c>
      <c r="E13" s="22">
        <v>8.2880000000000002E-11</v>
      </c>
      <c r="F13" s="22">
        <v>5.172606216E-8</v>
      </c>
      <c r="G13" s="22">
        <v>2.8675E-8</v>
      </c>
      <c r="H13" s="22">
        <v>6.2159999999999995E-11</v>
      </c>
      <c r="I13" s="22">
        <v>4.6989999999999997E-11</v>
      </c>
      <c r="J13" s="22">
        <v>7.6713369839999998E-11</v>
      </c>
      <c r="K13" s="22">
        <v>2.1017361600000002E-8</v>
      </c>
      <c r="L13" s="22">
        <v>1.716417864E-13</v>
      </c>
      <c r="M13" s="22">
        <v>1.7350999631999999E-8</v>
      </c>
      <c r="N13" s="22">
        <v>4.1287439231999997E-8</v>
      </c>
      <c r="O13" s="22">
        <v>5.1492535920000002E-8</v>
      </c>
      <c r="P13" s="22">
        <v>1</v>
      </c>
      <c r="Q13" s="22">
        <v>1</v>
      </c>
      <c r="R13" s="22">
        <v>1</v>
      </c>
      <c r="S13" s="22">
        <v>1</v>
      </c>
      <c r="T13" s="22">
        <v>1</v>
      </c>
      <c r="U13" s="22">
        <v>1</v>
      </c>
      <c r="V13" s="22">
        <v>1</v>
      </c>
      <c r="W13" s="22">
        <v>1</v>
      </c>
      <c r="X13" s="22">
        <v>1</v>
      </c>
      <c r="Y13" s="22">
        <v>1</v>
      </c>
      <c r="Z13" s="55">
        <f t="shared" ref="Z13:AD13" si="7">0.4*U13</f>
        <v>0.4</v>
      </c>
      <c r="AA13" s="55">
        <f t="shared" si="7"/>
        <v>0.4</v>
      </c>
      <c r="AB13" s="55">
        <f t="shared" si="7"/>
        <v>0.4</v>
      </c>
      <c r="AC13" s="55">
        <f t="shared" si="7"/>
        <v>0.4</v>
      </c>
      <c r="AD13" s="55">
        <f t="shared" si="7"/>
        <v>0.4</v>
      </c>
      <c r="AE13" s="22">
        <v>2144000</v>
      </c>
      <c r="AF13" s="22">
        <v>237</v>
      </c>
      <c r="AG13" s="22">
        <v>0.2</v>
      </c>
      <c r="AH13" s="22">
        <v>5.0000000000000001E-4</v>
      </c>
      <c r="AI13" s="22">
        <v>3.2322761194029798E-7</v>
      </c>
      <c r="AJ13" s="24">
        <v>15</v>
      </c>
      <c r="AK13" s="24">
        <v>237</v>
      </c>
    </row>
    <row r="14" spans="1:37" x14ac:dyDescent="0.25">
      <c r="A14" s="23" t="s">
        <v>24</v>
      </c>
      <c r="B14" s="24" t="s">
        <v>289</v>
      </c>
      <c r="C14" s="24"/>
      <c r="D14" s="22">
        <v>1.6465000000000001E-11</v>
      </c>
      <c r="E14" s="22">
        <v>8.9539999999999992E-12</v>
      </c>
      <c r="F14" s="22">
        <v>8.0333026560000001E-7</v>
      </c>
      <c r="G14" s="22">
        <v>1.5281E-11</v>
      </c>
      <c r="H14" s="22">
        <v>6.1420000000000003E-12</v>
      </c>
      <c r="I14" s="22">
        <v>2.5825999999999999E-12</v>
      </c>
      <c r="J14" s="22">
        <v>8.5353840720000002E-10</v>
      </c>
      <c r="K14" s="22">
        <v>1.879886232E-7</v>
      </c>
      <c r="L14" s="22">
        <v>1.8682099199999999E-12</v>
      </c>
      <c r="M14" s="22">
        <v>1.9055741183999999E-7</v>
      </c>
      <c r="N14" s="22">
        <v>5.2309877760000005E-7</v>
      </c>
      <c r="O14" s="22">
        <v>7.601279112E-7</v>
      </c>
      <c r="P14" s="22">
        <v>1</v>
      </c>
      <c r="Q14" s="22">
        <v>1</v>
      </c>
      <c r="R14" s="22">
        <v>1</v>
      </c>
      <c r="S14" s="22">
        <v>1</v>
      </c>
      <c r="T14" s="22">
        <v>1</v>
      </c>
      <c r="U14" s="22">
        <v>1</v>
      </c>
      <c r="V14" s="22">
        <v>1</v>
      </c>
      <c r="W14" s="22">
        <v>1</v>
      </c>
      <c r="X14" s="22">
        <v>1</v>
      </c>
      <c r="Y14" s="22">
        <v>1</v>
      </c>
      <c r="Z14" s="55">
        <f t="shared" ref="Z14:AD14" si="8">0.4*U14</f>
        <v>0.4</v>
      </c>
      <c r="AA14" s="55">
        <f t="shared" si="8"/>
        <v>0.4</v>
      </c>
      <c r="AB14" s="55">
        <f t="shared" si="8"/>
        <v>0.4</v>
      </c>
      <c r="AC14" s="55">
        <f t="shared" si="8"/>
        <v>0.4</v>
      </c>
      <c r="AD14" s="55">
        <f t="shared" si="8"/>
        <v>0.4</v>
      </c>
      <c r="AE14" s="22">
        <v>7.3882191780821893E-2</v>
      </c>
      <c r="AF14" s="22">
        <v>233</v>
      </c>
      <c r="AG14" s="22">
        <v>2000</v>
      </c>
      <c r="AH14" s="22">
        <v>5.0000000000000001E-4</v>
      </c>
      <c r="AI14" s="22">
        <v>9.3797975303148302</v>
      </c>
      <c r="AJ14" s="24">
        <v>300</v>
      </c>
      <c r="AK14" s="24">
        <v>233</v>
      </c>
    </row>
    <row r="15" spans="1:37" x14ac:dyDescent="0.25">
      <c r="A15" s="23" t="s">
        <v>25</v>
      </c>
      <c r="B15" s="24" t="s">
        <v>289</v>
      </c>
      <c r="C15" s="24"/>
      <c r="D15" s="22">
        <v>6.2529999999999997E-13</v>
      </c>
      <c r="E15" s="22">
        <v>3.4854E-13</v>
      </c>
      <c r="F15" s="22">
        <v>5.3711035200000002E-10</v>
      </c>
      <c r="G15" s="22">
        <v>2.0794E-13</v>
      </c>
      <c r="H15" s="22">
        <v>2.4087000000000001E-13</v>
      </c>
      <c r="I15" s="22">
        <v>1.221E-13</v>
      </c>
      <c r="J15" s="22">
        <v>1.7047415520000001E-12</v>
      </c>
      <c r="K15" s="22">
        <v>5.6513350080000005E-10</v>
      </c>
      <c r="L15" s="22">
        <v>2.323586088E-15</v>
      </c>
      <c r="M15" s="22">
        <v>1.8425220336000001E-10</v>
      </c>
      <c r="N15" s="22">
        <v>4.1661081215999999E-10</v>
      </c>
      <c r="O15" s="22">
        <v>5.2893693360000005E-10</v>
      </c>
      <c r="P15" s="22">
        <v>0.9</v>
      </c>
      <c r="Q15" s="22">
        <v>0.9</v>
      </c>
      <c r="R15" s="22">
        <v>0.9</v>
      </c>
      <c r="S15" s="22">
        <v>0.9</v>
      </c>
      <c r="T15" s="22">
        <v>0.9</v>
      </c>
      <c r="U15" s="22">
        <v>1</v>
      </c>
      <c r="V15" s="22">
        <v>1</v>
      </c>
      <c r="W15" s="22">
        <v>1</v>
      </c>
      <c r="X15" s="22">
        <v>1</v>
      </c>
      <c r="Y15" s="22">
        <v>1</v>
      </c>
      <c r="Z15" s="55">
        <f t="shared" ref="Z15:AD17" si="9">0.4*U15</f>
        <v>0.4</v>
      </c>
      <c r="AA15" s="55">
        <f t="shared" si="9"/>
        <v>0.4</v>
      </c>
      <c r="AB15" s="55">
        <f t="shared" si="9"/>
        <v>0.4</v>
      </c>
      <c r="AC15" s="55">
        <f t="shared" si="9"/>
        <v>0.4</v>
      </c>
      <c r="AD15" s="55">
        <f t="shared" si="9"/>
        <v>0.4</v>
      </c>
      <c r="AE15" s="22">
        <v>3.7134703196347002E-4</v>
      </c>
      <c r="AF15" s="22">
        <v>209</v>
      </c>
      <c r="AG15" s="22">
        <v>150</v>
      </c>
      <c r="AH15" s="22">
        <v>0.2</v>
      </c>
      <c r="AI15" s="22">
        <v>1866.1789117737501</v>
      </c>
      <c r="AJ15" s="24"/>
      <c r="AK15" s="24">
        <v>209</v>
      </c>
    </row>
    <row r="16" spans="1:37" x14ac:dyDescent="0.25">
      <c r="A16" s="23" t="s">
        <v>26</v>
      </c>
      <c r="B16" s="24" t="s">
        <v>289</v>
      </c>
      <c r="C16" s="24"/>
      <c r="D16" s="22">
        <v>1.7167999999999999E-9</v>
      </c>
      <c r="E16" s="22">
        <v>1.1766000000000001E-9</v>
      </c>
      <c r="F16" s="22">
        <v>1.482891624E-9</v>
      </c>
      <c r="G16" s="22">
        <v>1.5872999999999999E-8</v>
      </c>
      <c r="H16" s="22">
        <v>8.8430000000000004E-10</v>
      </c>
      <c r="I16" s="22">
        <v>5.9940000000000002E-10</v>
      </c>
      <c r="J16" s="22">
        <v>3.9349171439999997E-12</v>
      </c>
      <c r="K16" s="22">
        <v>1.7164178639999999E-9</v>
      </c>
      <c r="L16" s="22">
        <v>9.0841707359999996E-15</v>
      </c>
      <c r="M16" s="22">
        <v>9.5278705920000003E-10</v>
      </c>
      <c r="N16" s="22">
        <v>1.4665447872000001E-9</v>
      </c>
      <c r="O16" s="22">
        <v>1.482891624E-9</v>
      </c>
      <c r="P16" s="22">
        <v>1</v>
      </c>
      <c r="Q16" s="22">
        <v>1</v>
      </c>
      <c r="R16" s="22">
        <v>1</v>
      </c>
      <c r="S16" s="22">
        <v>1</v>
      </c>
      <c r="T16" s="22">
        <v>1</v>
      </c>
      <c r="U16" s="22">
        <v>1</v>
      </c>
      <c r="V16" s="22">
        <v>1</v>
      </c>
      <c r="W16" s="22">
        <v>1</v>
      </c>
      <c r="X16" s="22">
        <v>1</v>
      </c>
      <c r="Y16" s="22">
        <v>1</v>
      </c>
      <c r="Z16" s="55">
        <f t="shared" si="9"/>
        <v>0.4</v>
      </c>
      <c r="AA16" s="55">
        <f t="shared" si="9"/>
        <v>0.4</v>
      </c>
      <c r="AB16" s="55">
        <f t="shared" si="9"/>
        <v>0.4</v>
      </c>
      <c r="AC16" s="55">
        <f t="shared" si="9"/>
        <v>0.4</v>
      </c>
      <c r="AD16" s="55">
        <f t="shared" si="9"/>
        <v>0.4</v>
      </c>
      <c r="AE16" s="22">
        <v>22.2</v>
      </c>
      <c r="AF16" s="22">
        <v>210</v>
      </c>
      <c r="AG16" s="22">
        <v>150</v>
      </c>
      <c r="AH16" s="22">
        <v>0.2</v>
      </c>
      <c r="AI16" s="22">
        <v>3.1216216216216199E-2</v>
      </c>
      <c r="AJ16" s="24"/>
      <c r="AK16" s="24">
        <v>210</v>
      </c>
    </row>
    <row r="17" spans="1:37" x14ac:dyDescent="0.25">
      <c r="A17" s="23" t="s">
        <v>27</v>
      </c>
      <c r="B17" s="24" t="s">
        <v>289</v>
      </c>
      <c r="C17" s="24"/>
      <c r="D17" s="22">
        <v>7.9180000000000002E-13</v>
      </c>
      <c r="E17" s="22">
        <v>4.8470000000000005E-13</v>
      </c>
      <c r="F17" s="22">
        <v>9.9365415120000007E-7</v>
      </c>
      <c r="G17" s="22">
        <v>7.7700000000000001E-11</v>
      </c>
      <c r="H17" s="22">
        <v>3.4447E-13</v>
      </c>
      <c r="I17" s="22">
        <v>2.2052E-13</v>
      </c>
      <c r="J17" s="22">
        <v>1.0193420376000001E-9</v>
      </c>
      <c r="K17" s="22">
        <v>2.230175592E-7</v>
      </c>
      <c r="L17" s="22">
        <v>2.2301755919999998E-12</v>
      </c>
      <c r="M17" s="22">
        <v>2.2605340032000001E-7</v>
      </c>
      <c r="N17" s="22">
        <v>6.2958674304000002E-7</v>
      </c>
      <c r="O17" s="22">
        <v>9.3060206639999999E-7</v>
      </c>
      <c r="P17" s="22">
        <v>1</v>
      </c>
      <c r="Q17" s="22">
        <v>1</v>
      </c>
      <c r="R17" s="22">
        <v>1</v>
      </c>
      <c r="S17" s="22">
        <v>1</v>
      </c>
      <c r="T17" s="22">
        <v>1</v>
      </c>
      <c r="U17" s="22">
        <v>1</v>
      </c>
      <c r="V17" s="22">
        <v>1</v>
      </c>
      <c r="W17" s="22">
        <v>1</v>
      </c>
      <c r="X17" s="22">
        <v>1</v>
      </c>
      <c r="Y17" s="22">
        <v>1</v>
      </c>
      <c r="Z17" s="55">
        <f t="shared" si="9"/>
        <v>0.4</v>
      </c>
      <c r="AA17" s="55">
        <f t="shared" si="9"/>
        <v>0.4</v>
      </c>
      <c r="AB17" s="55">
        <f t="shared" si="9"/>
        <v>0.4</v>
      </c>
      <c r="AC17" s="55">
        <f t="shared" si="9"/>
        <v>0.4</v>
      </c>
      <c r="AD17" s="55">
        <f t="shared" si="9"/>
        <v>0.4</v>
      </c>
      <c r="AE17" s="22">
        <v>5.0989345509893397E-5</v>
      </c>
      <c r="AF17" s="22">
        <v>214</v>
      </c>
      <c r="AG17" s="22">
        <v>150</v>
      </c>
      <c r="AH17" s="22">
        <v>0.2</v>
      </c>
      <c r="AI17" s="22">
        <v>13591.0746268657</v>
      </c>
      <c r="AJ17" s="24"/>
      <c r="AK17" s="24">
        <v>214</v>
      </c>
    </row>
    <row r="18" spans="1:37" x14ac:dyDescent="0.25">
      <c r="A18" s="23" t="s">
        <v>28</v>
      </c>
      <c r="B18" s="24" t="s">
        <v>289</v>
      </c>
      <c r="C18" s="24"/>
      <c r="D18" s="22">
        <v>3.2744999999999998E-9</v>
      </c>
      <c r="E18" s="22">
        <v>2.2533000000000001E-9</v>
      </c>
      <c r="F18" s="22">
        <v>4.5070564319999998E-11</v>
      </c>
      <c r="G18" s="22">
        <v>1.4504E-8</v>
      </c>
      <c r="H18" s="22">
        <v>1.7760000000000001E-9</v>
      </c>
      <c r="I18" s="22">
        <v>1.4356000000000001E-9</v>
      </c>
      <c r="J18" s="22">
        <v>4.1801196960000001E-14</v>
      </c>
      <c r="K18" s="22">
        <v>8.69885244E-12</v>
      </c>
      <c r="L18" s="22">
        <v>9.0724944239999998E-17</v>
      </c>
      <c r="M18" s="22">
        <v>8.9487255167999993E-12</v>
      </c>
      <c r="N18" s="22">
        <v>2.5407654911999999E-11</v>
      </c>
      <c r="O18" s="22">
        <v>3.9582697679999998E-11</v>
      </c>
      <c r="P18" s="22">
        <v>1</v>
      </c>
      <c r="Q18" s="22">
        <v>1</v>
      </c>
      <c r="R18" s="22">
        <v>1</v>
      </c>
      <c r="S18" s="22">
        <v>1</v>
      </c>
      <c r="T18" s="22">
        <v>1</v>
      </c>
      <c r="U18" s="22">
        <v>1</v>
      </c>
      <c r="V18" s="22">
        <v>1</v>
      </c>
      <c r="W18" s="22">
        <v>1</v>
      </c>
      <c r="X18" s="22">
        <v>1</v>
      </c>
      <c r="Y18" s="22">
        <v>1</v>
      </c>
      <c r="Z18" s="55">
        <f t="shared" ref="Z18:AD21" si="10">0.4*U18</f>
        <v>0.4</v>
      </c>
      <c r="AA18" s="55">
        <f t="shared" si="10"/>
        <v>0.4</v>
      </c>
      <c r="AB18" s="55">
        <f t="shared" si="10"/>
        <v>0.4</v>
      </c>
      <c r="AC18" s="55">
        <f t="shared" si="10"/>
        <v>0.4</v>
      </c>
      <c r="AD18" s="55">
        <f t="shared" si="10"/>
        <v>0.4</v>
      </c>
      <c r="AE18" s="22">
        <v>0.37911232876712297</v>
      </c>
      <c r="AF18" s="22">
        <v>210</v>
      </c>
      <c r="AG18" s="22">
        <v>210</v>
      </c>
      <c r="AH18" s="22"/>
      <c r="AI18" s="22">
        <v>1.8279542695265101</v>
      </c>
      <c r="AJ18" s="24">
        <v>15</v>
      </c>
      <c r="AK18" s="24">
        <v>210</v>
      </c>
    </row>
    <row r="19" spans="1:37" x14ac:dyDescent="0.25">
      <c r="A19" s="23" t="s">
        <v>29</v>
      </c>
      <c r="B19" s="24" t="s">
        <v>289</v>
      </c>
      <c r="C19" s="24"/>
      <c r="D19" s="22">
        <v>0</v>
      </c>
      <c r="E19" s="22">
        <v>0</v>
      </c>
      <c r="F19" s="22">
        <v>1.728094176E-10</v>
      </c>
      <c r="G19" s="22">
        <v>0</v>
      </c>
      <c r="H19" s="22">
        <v>0</v>
      </c>
      <c r="I19" s="22">
        <v>0</v>
      </c>
      <c r="J19" s="22">
        <v>1.6113310560000001E-13</v>
      </c>
      <c r="K19" s="22">
        <v>3.3627778560000003E-11</v>
      </c>
      <c r="L19" s="22">
        <v>3.491217288E-16</v>
      </c>
      <c r="M19" s="22">
        <v>3.4561883519999999E-11</v>
      </c>
      <c r="N19" s="22">
        <v>9.7333736831999999E-11</v>
      </c>
      <c r="O19" s="22">
        <v>1.51792056E-10</v>
      </c>
      <c r="P19" s="22">
        <v>1</v>
      </c>
      <c r="Q19" s="22">
        <v>1</v>
      </c>
      <c r="R19" s="22">
        <v>1</v>
      </c>
      <c r="S19" s="22">
        <v>1</v>
      </c>
      <c r="T19" s="22">
        <v>1</v>
      </c>
      <c r="U19" s="22">
        <v>1</v>
      </c>
      <c r="V19" s="22">
        <v>1</v>
      </c>
      <c r="W19" s="22">
        <v>1</v>
      </c>
      <c r="X19" s="22">
        <v>1</v>
      </c>
      <c r="Y19" s="22">
        <v>1</v>
      </c>
      <c r="Z19" s="55">
        <f t="shared" si="10"/>
        <v>0.4</v>
      </c>
      <c r="AA19" s="55">
        <f t="shared" si="10"/>
        <v>0.4</v>
      </c>
      <c r="AB19" s="55">
        <f t="shared" si="10"/>
        <v>0.4</v>
      </c>
      <c r="AC19" s="55">
        <f t="shared" si="10"/>
        <v>0.4</v>
      </c>
      <c r="AD19" s="55">
        <f t="shared" si="10"/>
        <v>0.4</v>
      </c>
      <c r="AE19" s="22">
        <v>1.3318112633181101E-13</v>
      </c>
      <c r="AF19" s="22">
        <v>213</v>
      </c>
      <c r="AG19" s="22">
        <v>210</v>
      </c>
      <c r="AH19" s="22"/>
      <c r="AI19" s="22">
        <v>5203440000000</v>
      </c>
      <c r="AJ19" s="24">
        <v>15</v>
      </c>
      <c r="AK19" s="24">
        <v>213</v>
      </c>
    </row>
    <row r="20" spans="1:37" x14ac:dyDescent="0.25">
      <c r="A20" s="23" t="s">
        <v>30</v>
      </c>
      <c r="B20" s="24" t="s">
        <v>289</v>
      </c>
      <c r="C20" s="24"/>
      <c r="D20" s="22">
        <v>0</v>
      </c>
      <c r="E20" s="22">
        <v>0</v>
      </c>
      <c r="F20" s="22">
        <v>3.8531829600000002E-10</v>
      </c>
      <c r="G20" s="22">
        <v>0</v>
      </c>
      <c r="H20" s="22">
        <v>0</v>
      </c>
      <c r="I20" s="22">
        <v>0</v>
      </c>
      <c r="J20" s="22">
        <v>3.5729514720000002E-13</v>
      </c>
      <c r="K20" s="22">
        <v>7.4261344320000001E-11</v>
      </c>
      <c r="L20" s="22">
        <v>7.741394856E-16</v>
      </c>
      <c r="M20" s="22">
        <v>7.6222964736000004E-11</v>
      </c>
      <c r="N20" s="22">
        <v>2.1484414079999999E-10</v>
      </c>
      <c r="O20" s="22">
        <v>3.3744541680000003E-10</v>
      </c>
      <c r="P20" s="22">
        <v>1</v>
      </c>
      <c r="Q20" s="22">
        <v>1</v>
      </c>
      <c r="R20" s="22">
        <v>1</v>
      </c>
      <c r="S20" s="22">
        <v>1</v>
      </c>
      <c r="T20" s="22">
        <v>1</v>
      </c>
      <c r="U20" s="22">
        <v>1</v>
      </c>
      <c r="V20" s="22">
        <v>1</v>
      </c>
      <c r="W20" s="22">
        <v>1</v>
      </c>
      <c r="X20" s="22">
        <v>1</v>
      </c>
      <c r="Y20" s="22">
        <v>1</v>
      </c>
      <c r="Z20" s="55">
        <f t="shared" si="10"/>
        <v>0.4</v>
      </c>
      <c r="AA20" s="55">
        <f t="shared" si="10"/>
        <v>0.4</v>
      </c>
      <c r="AB20" s="55">
        <f t="shared" si="10"/>
        <v>0.4</v>
      </c>
      <c r="AC20" s="55">
        <f t="shared" si="10"/>
        <v>0.4</v>
      </c>
      <c r="AD20" s="55">
        <f t="shared" si="10"/>
        <v>0.4</v>
      </c>
      <c r="AE20" s="22">
        <v>5.20991882293252E-12</v>
      </c>
      <c r="AF20" s="22">
        <v>214</v>
      </c>
      <c r="AG20" s="22">
        <v>210</v>
      </c>
      <c r="AH20" s="22"/>
      <c r="AI20" s="22">
        <v>133015508216.677</v>
      </c>
      <c r="AJ20" s="24">
        <v>15</v>
      </c>
      <c r="AK20" s="24">
        <v>214</v>
      </c>
    </row>
    <row r="21" spans="1:37" x14ac:dyDescent="0.25">
      <c r="A21" s="23" t="s">
        <v>31</v>
      </c>
      <c r="B21" s="24" t="s">
        <v>289</v>
      </c>
      <c r="C21" s="24"/>
      <c r="D21" s="22">
        <v>0</v>
      </c>
      <c r="E21" s="22">
        <v>0</v>
      </c>
      <c r="F21" s="22">
        <v>6.8423188320000004E-15</v>
      </c>
      <c r="G21" s="22">
        <v>1.39E-11</v>
      </c>
      <c r="H21" s="22">
        <v>0</v>
      </c>
      <c r="I21" s="22">
        <v>0</v>
      </c>
      <c r="J21" s="22">
        <v>3.9465934560000001E-17</v>
      </c>
      <c r="K21" s="22">
        <v>5.3010456479999998E-15</v>
      </c>
      <c r="L21" s="22">
        <v>5.055843096E-20</v>
      </c>
      <c r="M21" s="22">
        <v>3.1572747648000001E-15</v>
      </c>
      <c r="N21" s="22">
        <v>5.9782717440000002E-15</v>
      </c>
      <c r="O21" s="22">
        <v>6.8189662079999997E-15</v>
      </c>
      <c r="P21" s="22">
        <v>0.9</v>
      </c>
      <c r="Q21" s="22">
        <v>0.9</v>
      </c>
      <c r="R21" s="22">
        <v>0.9</v>
      </c>
      <c r="S21" s="22">
        <v>0.9</v>
      </c>
      <c r="T21" s="22">
        <v>0.9</v>
      </c>
      <c r="U21" s="22">
        <v>1</v>
      </c>
      <c r="V21" s="22">
        <v>1</v>
      </c>
      <c r="W21" s="22">
        <v>1</v>
      </c>
      <c r="X21" s="22">
        <v>1</v>
      </c>
      <c r="Y21" s="22">
        <v>1</v>
      </c>
      <c r="Z21" s="55">
        <f t="shared" si="10"/>
        <v>0.4</v>
      </c>
      <c r="AA21" s="55">
        <f t="shared" si="10"/>
        <v>0.4</v>
      </c>
      <c r="AB21" s="55">
        <f t="shared" si="10"/>
        <v>0.4</v>
      </c>
      <c r="AC21" s="55">
        <f t="shared" si="10"/>
        <v>0.4</v>
      </c>
      <c r="AD21" s="55">
        <f t="shared" si="10"/>
        <v>0.4</v>
      </c>
      <c r="AE21" s="22">
        <v>5.8980213089802101E-6</v>
      </c>
      <c r="AF21" s="22">
        <v>218</v>
      </c>
      <c r="AG21" s="22">
        <v>210</v>
      </c>
      <c r="AH21" s="22"/>
      <c r="AI21" s="22">
        <v>117497.032258065</v>
      </c>
      <c r="AJ21" s="24">
        <v>15</v>
      </c>
      <c r="AK21" s="24">
        <v>218</v>
      </c>
    </row>
    <row r="22" spans="1:37" x14ac:dyDescent="0.25">
      <c r="A22" s="23" t="s">
        <v>32</v>
      </c>
      <c r="B22" s="24" t="s">
        <v>289</v>
      </c>
      <c r="C22" s="24"/>
      <c r="D22" s="22">
        <v>2.4235E-10</v>
      </c>
      <c r="E22" s="22">
        <v>1.5355E-10</v>
      </c>
      <c r="F22" s="22">
        <v>6.106711176E-9</v>
      </c>
      <c r="G22" s="22">
        <v>2.6159E-8</v>
      </c>
      <c r="H22" s="22">
        <v>1.1432999999999999E-10</v>
      </c>
      <c r="I22" s="22">
        <v>7.4369999999999998E-11</v>
      </c>
      <c r="J22" s="22">
        <v>1.844857296E-11</v>
      </c>
      <c r="K22" s="22">
        <v>8.8389681839999997E-9</v>
      </c>
      <c r="L22" s="22">
        <v>4.2385012559999998E-14</v>
      </c>
      <c r="M22" s="22">
        <v>4.4463396095999997E-9</v>
      </c>
      <c r="N22" s="22">
        <v>6.0716822400000003E-9</v>
      </c>
      <c r="O22" s="22">
        <v>6.0950348640000001E-9</v>
      </c>
      <c r="P22" s="22">
        <v>1</v>
      </c>
      <c r="Q22" s="22">
        <v>1</v>
      </c>
      <c r="R22" s="22">
        <v>1</v>
      </c>
      <c r="S22" s="22">
        <v>1</v>
      </c>
      <c r="T22" s="22">
        <v>1</v>
      </c>
      <c r="U22" s="22">
        <v>1</v>
      </c>
      <c r="V22" s="22">
        <v>1</v>
      </c>
      <c r="W22" s="22">
        <v>1</v>
      </c>
      <c r="X22" s="22">
        <v>1</v>
      </c>
      <c r="Y22" s="22">
        <v>1</v>
      </c>
      <c r="Z22" s="55">
        <f t="shared" ref="Z22:AD23" si="11">0.4*U22</f>
        <v>0.4</v>
      </c>
      <c r="AA22" s="55">
        <f t="shared" si="11"/>
        <v>0.4</v>
      </c>
      <c r="AB22" s="55">
        <f t="shared" si="11"/>
        <v>0.4</v>
      </c>
      <c r="AC22" s="55">
        <f t="shared" si="11"/>
        <v>0.4</v>
      </c>
      <c r="AD22" s="55">
        <f t="shared" si="11"/>
        <v>0.4</v>
      </c>
      <c r="AE22" s="22">
        <v>4.0821917808219199E-2</v>
      </c>
      <c r="AF22" s="22">
        <v>225</v>
      </c>
      <c r="AG22" s="22">
        <v>1</v>
      </c>
      <c r="AH22" s="22">
        <v>0.2</v>
      </c>
      <c r="AI22" s="22">
        <v>16.976174496644301</v>
      </c>
      <c r="AJ22" s="24"/>
      <c r="AK22" s="24">
        <v>225</v>
      </c>
    </row>
    <row r="23" spans="1:37" x14ac:dyDescent="0.25">
      <c r="A23" s="25" t="s">
        <v>33</v>
      </c>
      <c r="B23" s="24" t="s">
        <v>275</v>
      </c>
      <c r="C23" s="24">
        <v>1</v>
      </c>
      <c r="D23" s="22">
        <v>6.7709999999999997E-10</v>
      </c>
      <c r="E23" s="22">
        <v>5.1429999999999997E-10</v>
      </c>
      <c r="F23" s="22">
        <v>2.4987307680000001E-8</v>
      </c>
      <c r="G23" s="22">
        <v>2.8156999999999999E-8</v>
      </c>
      <c r="H23" s="22">
        <v>3.8480000000000001E-10</v>
      </c>
      <c r="I23" s="22">
        <v>2.9451999999999998E-10</v>
      </c>
      <c r="J23" s="22">
        <v>2.849020128E-11</v>
      </c>
      <c r="K23" s="22">
        <v>6.2468269200000004E-9</v>
      </c>
      <c r="L23" s="22">
        <v>6.2701795440000005E-14</v>
      </c>
      <c r="M23" s="22">
        <v>6.3332316288000001E-9</v>
      </c>
      <c r="N23" s="22">
        <v>1.7315970695999999E-8</v>
      </c>
      <c r="O23" s="22">
        <v>2.4286728960000001E-8</v>
      </c>
      <c r="P23" s="22">
        <v>1</v>
      </c>
      <c r="Q23" s="22">
        <v>1</v>
      </c>
      <c r="R23" s="22">
        <v>1</v>
      </c>
      <c r="S23" s="22">
        <v>1</v>
      </c>
      <c r="T23" s="22">
        <v>1</v>
      </c>
      <c r="U23" s="22">
        <v>1</v>
      </c>
      <c r="V23" s="22">
        <v>1</v>
      </c>
      <c r="W23" s="22">
        <v>1</v>
      </c>
      <c r="X23" s="22">
        <v>1</v>
      </c>
      <c r="Y23" s="22">
        <v>1</v>
      </c>
      <c r="Z23" s="55">
        <f t="shared" si="11"/>
        <v>0.4</v>
      </c>
      <c r="AA23" s="55">
        <f t="shared" si="11"/>
        <v>0.4</v>
      </c>
      <c r="AB23" s="55">
        <f t="shared" si="11"/>
        <v>0.4</v>
      </c>
      <c r="AC23" s="55">
        <f t="shared" si="11"/>
        <v>0.4</v>
      </c>
      <c r="AD23" s="55">
        <f t="shared" si="11"/>
        <v>0.4</v>
      </c>
      <c r="AE23" s="22">
        <v>1600</v>
      </c>
      <c r="AF23" s="22">
        <v>226</v>
      </c>
      <c r="AG23" s="22">
        <v>1</v>
      </c>
      <c r="AH23" s="22">
        <v>0.2</v>
      </c>
      <c r="AI23" s="22">
        <v>4.3312500000000002E-4</v>
      </c>
      <c r="AJ23" s="24">
        <v>5</v>
      </c>
      <c r="AK23" s="24">
        <v>226</v>
      </c>
    </row>
    <row r="24" spans="1:37" x14ac:dyDescent="0.25">
      <c r="A24" s="23" t="s">
        <v>34</v>
      </c>
      <c r="B24" s="24" t="s">
        <v>289</v>
      </c>
      <c r="C24" s="24"/>
      <c r="D24" s="22">
        <v>0</v>
      </c>
      <c r="E24" s="22">
        <v>0</v>
      </c>
      <c r="F24" s="22">
        <v>3.3861304799999998E-9</v>
      </c>
      <c r="G24" s="22">
        <v>0</v>
      </c>
      <c r="H24" s="22">
        <v>0</v>
      </c>
      <c r="I24" s="22">
        <v>0</v>
      </c>
      <c r="J24" s="22">
        <v>3.187633176E-12</v>
      </c>
      <c r="K24" s="22">
        <v>6.807289896E-10</v>
      </c>
      <c r="L24" s="22">
        <v>6.9240530159999999E-15</v>
      </c>
      <c r="M24" s="22">
        <v>6.9684230016000005E-10</v>
      </c>
      <c r="N24" s="22">
        <v>1.9616204160000001E-9</v>
      </c>
      <c r="O24" s="22">
        <v>3.0358411200000002E-9</v>
      </c>
      <c r="P24" s="22">
        <v>1</v>
      </c>
      <c r="Q24" s="22">
        <v>1</v>
      </c>
      <c r="R24" s="22">
        <v>1</v>
      </c>
      <c r="S24" s="22">
        <v>1</v>
      </c>
      <c r="T24" s="22">
        <v>1</v>
      </c>
      <c r="U24" s="22">
        <v>1</v>
      </c>
      <c r="V24" s="22">
        <v>1</v>
      </c>
      <c r="W24" s="22">
        <v>1</v>
      </c>
      <c r="X24" s="22">
        <v>1</v>
      </c>
      <c r="Y24" s="22">
        <v>1</v>
      </c>
      <c r="Z24" s="55">
        <f t="shared" ref="Z24:AD25" si="12">0.4*U24</f>
        <v>0.4</v>
      </c>
      <c r="AA24" s="55">
        <f t="shared" si="12"/>
        <v>0.4</v>
      </c>
      <c r="AB24" s="55">
        <f t="shared" si="12"/>
        <v>0.4</v>
      </c>
      <c r="AC24" s="55">
        <f t="shared" si="12"/>
        <v>0.4</v>
      </c>
      <c r="AD24" s="55">
        <f t="shared" si="12"/>
        <v>0.4</v>
      </c>
      <c r="AE24" s="22">
        <v>1.1098427194317601E-9</v>
      </c>
      <c r="AF24" s="22">
        <v>218</v>
      </c>
      <c r="AG24" s="22">
        <v>0</v>
      </c>
      <c r="AH24" s="22"/>
      <c r="AI24" s="22">
        <v>624412800</v>
      </c>
      <c r="AJ24" s="24"/>
      <c r="AK24" s="24">
        <v>218</v>
      </c>
    </row>
    <row r="25" spans="1:37" x14ac:dyDescent="0.25">
      <c r="A25" s="25" t="s">
        <v>35</v>
      </c>
      <c r="B25" s="24" t="s">
        <v>275</v>
      </c>
      <c r="C25" s="24">
        <v>1</v>
      </c>
      <c r="D25" s="22">
        <v>0</v>
      </c>
      <c r="E25" s="22">
        <v>0</v>
      </c>
      <c r="F25" s="22">
        <v>1.6930652399999999E-9</v>
      </c>
      <c r="G25" s="44">
        <v>2.28E-12</v>
      </c>
      <c r="H25" s="22">
        <v>0</v>
      </c>
      <c r="I25" s="22">
        <v>0</v>
      </c>
      <c r="J25" s="22">
        <v>1.6230073680000001E-12</v>
      </c>
      <c r="K25" s="22">
        <v>3.5028935999999998E-10</v>
      </c>
      <c r="L25" s="22">
        <v>3.5145699120000001E-15</v>
      </c>
      <c r="M25" s="22">
        <v>3.5682809472000002E-10</v>
      </c>
      <c r="N25" s="22">
        <v>1.00696514688E-9</v>
      </c>
      <c r="O25" s="22">
        <v>1.5412731840000001E-9</v>
      </c>
      <c r="P25" s="22">
        <v>1</v>
      </c>
      <c r="Q25" s="22">
        <v>1</v>
      </c>
      <c r="R25" s="22">
        <v>1</v>
      </c>
      <c r="S25" s="22">
        <v>1</v>
      </c>
      <c r="T25" s="22">
        <v>1</v>
      </c>
      <c r="U25" s="22">
        <v>1</v>
      </c>
      <c r="V25" s="22">
        <v>1</v>
      </c>
      <c r="W25" s="22">
        <v>1</v>
      </c>
      <c r="X25" s="22">
        <v>1</v>
      </c>
      <c r="Y25" s="22">
        <v>1</v>
      </c>
      <c r="Z25" s="55">
        <f t="shared" si="12"/>
        <v>0.4</v>
      </c>
      <c r="AA25" s="55">
        <f t="shared" si="12"/>
        <v>0.4</v>
      </c>
      <c r="AB25" s="55">
        <f t="shared" si="12"/>
        <v>0.4</v>
      </c>
      <c r="AC25" s="55">
        <f t="shared" si="12"/>
        <v>0.4</v>
      </c>
      <c r="AD25" s="55">
        <f t="shared" si="12"/>
        <v>0.4</v>
      </c>
      <c r="AE25" s="22">
        <v>1.04753424657534E-2</v>
      </c>
      <c r="AF25" s="22">
        <v>222</v>
      </c>
      <c r="AG25" s="22">
        <v>0</v>
      </c>
      <c r="AH25" s="22"/>
      <c r="AI25" s="22">
        <v>66.155355041192607</v>
      </c>
      <c r="AJ25" s="24"/>
      <c r="AK25" s="24">
        <v>222</v>
      </c>
    </row>
    <row r="26" spans="1:37" x14ac:dyDescent="0.25">
      <c r="A26" s="23" t="s">
        <v>36</v>
      </c>
      <c r="B26" s="24" t="s">
        <v>289</v>
      </c>
      <c r="C26" s="24"/>
      <c r="D26" s="22">
        <v>3.8480000000000001E-10</v>
      </c>
      <c r="E26" s="22">
        <v>2.9045000000000002E-10</v>
      </c>
      <c r="F26" s="22">
        <v>2.241851904E-7</v>
      </c>
      <c r="G26" s="22">
        <v>1.7464000000000001E-7</v>
      </c>
      <c r="H26" s="22">
        <v>2.2347999999999999E-10</v>
      </c>
      <c r="I26" s="22">
        <v>1.9683999999999999E-10</v>
      </c>
      <c r="J26" s="22">
        <v>3.0008121840000002E-10</v>
      </c>
      <c r="K26" s="22">
        <v>7.0758450719999997E-8</v>
      </c>
      <c r="L26" s="22">
        <v>6.6788504639999998E-13</v>
      </c>
      <c r="M26" s="22">
        <v>6.7629199103999999E-8</v>
      </c>
      <c r="N26" s="22">
        <v>1.7059091832000001E-7</v>
      </c>
      <c r="O26" s="22">
        <v>2.2184992799999999E-7</v>
      </c>
      <c r="P26" s="22">
        <v>1</v>
      </c>
      <c r="Q26" s="22">
        <v>1</v>
      </c>
      <c r="R26" s="22">
        <v>1</v>
      </c>
      <c r="S26" s="22">
        <v>1</v>
      </c>
      <c r="T26" s="22">
        <v>1</v>
      </c>
      <c r="U26" s="22">
        <v>1</v>
      </c>
      <c r="V26" s="22">
        <v>1</v>
      </c>
      <c r="W26" s="22">
        <v>1</v>
      </c>
      <c r="X26" s="22">
        <v>1</v>
      </c>
      <c r="Y26" s="22">
        <v>1</v>
      </c>
      <c r="Z26" s="55">
        <f t="shared" ref="Z26:AD26" si="13">0.4*U26</f>
        <v>0.4</v>
      </c>
      <c r="AA26" s="55">
        <f t="shared" si="13"/>
        <v>0.4</v>
      </c>
      <c r="AB26" s="55">
        <f t="shared" si="13"/>
        <v>0.4</v>
      </c>
      <c r="AC26" s="55">
        <f t="shared" si="13"/>
        <v>0.4</v>
      </c>
      <c r="AD26" s="55">
        <f t="shared" si="13"/>
        <v>0.4</v>
      </c>
      <c r="AE26" s="22">
        <v>7340</v>
      </c>
      <c r="AF26" s="22">
        <v>229</v>
      </c>
      <c r="AG26" s="22">
        <v>20</v>
      </c>
      <c r="AH26" s="22">
        <v>5.0000000000000001E-4</v>
      </c>
      <c r="AI26" s="22">
        <v>9.4414168937329696E-5</v>
      </c>
      <c r="AJ26" s="24">
        <v>15</v>
      </c>
      <c r="AK26" s="24">
        <v>229</v>
      </c>
    </row>
    <row r="27" spans="1:37" x14ac:dyDescent="0.25">
      <c r="A27" s="23" t="s">
        <v>37</v>
      </c>
      <c r="B27" s="24" t="s">
        <v>289</v>
      </c>
      <c r="C27" s="24"/>
      <c r="D27" s="22">
        <v>0</v>
      </c>
      <c r="E27" s="22">
        <v>0</v>
      </c>
      <c r="F27" s="22">
        <v>6.106711176E-9</v>
      </c>
      <c r="G27" s="22">
        <v>0</v>
      </c>
      <c r="H27" s="22">
        <v>0</v>
      </c>
      <c r="I27" s="22">
        <v>0</v>
      </c>
      <c r="J27" s="22">
        <v>9.3994311600000004E-12</v>
      </c>
      <c r="K27" s="22">
        <v>8.5704130080000005E-9</v>
      </c>
      <c r="L27" s="22">
        <v>1.4712153119999999E-14</v>
      </c>
      <c r="M27" s="22">
        <v>2.0737130111999998E-9</v>
      </c>
      <c r="N27" s="22">
        <v>4.4089754112000003E-9</v>
      </c>
      <c r="O27" s="22">
        <v>5.8615086239999998E-9</v>
      </c>
      <c r="P27" s="22">
        <v>1</v>
      </c>
      <c r="Q27" s="22">
        <v>1</v>
      </c>
      <c r="R27" s="22">
        <v>1</v>
      </c>
      <c r="S27" s="22">
        <v>1</v>
      </c>
      <c r="T27" s="22">
        <v>1</v>
      </c>
      <c r="U27" s="22">
        <v>1</v>
      </c>
      <c r="V27" s="22">
        <v>1</v>
      </c>
      <c r="W27" s="22">
        <v>1</v>
      </c>
      <c r="X27" s="22">
        <v>1</v>
      </c>
      <c r="Y27" s="22">
        <v>1</v>
      </c>
      <c r="Z27" s="55">
        <f t="shared" ref="Z27:AD30" si="14">0.4*U27</f>
        <v>0.4</v>
      </c>
      <c r="AA27" s="55">
        <f t="shared" si="14"/>
        <v>0.4</v>
      </c>
      <c r="AB27" s="55">
        <f t="shared" si="14"/>
        <v>0.4</v>
      </c>
      <c r="AC27" s="55">
        <f t="shared" si="14"/>
        <v>0.4</v>
      </c>
      <c r="AD27" s="55">
        <f t="shared" si="14"/>
        <v>0.4</v>
      </c>
      <c r="AE27" s="22">
        <v>7.9908675799086794E-6</v>
      </c>
      <c r="AF27" s="22">
        <v>206</v>
      </c>
      <c r="AG27" s="22">
        <v>1500</v>
      </c>
      <c r="AH27" s="22"/>
      <c r="AI27" s="22">
        <v>86724</v>
      </c>
      <c r="AJ27" s="24"/>
      <c r="AK27" s="24">
        <v>206</v>
      </c>
    </row>
    <row r="28" spans="1:37" x14ac:dyDescent="0.25">
      <c r="A28" s="23" t="s">
        <v>38</v>
      </c>
      <c r="B28" s="24" t="s">
        <v>289</v>
      </c>
      <c r="C28" s="24"/>
      <c r="D28" s="22">
        <v>0</v>
      </c>
      <c r="E28" s="22">
        <v>0</v>
      </c>
      <c r="F28" s="22">
        <v>1.0321859808E-5</v>
      </c>
      <c r="G28" s="22">
        <v>0</v>
      </c>
      <c r="H28" s="22">
        <v>0</v>
      </c>
      <c r="I28" s="22">
        <v>0</v>
      </c>
      <c r="J28" s="22">
        <v>9.5745758399999995E-9</v>
      </c>
      <c r="K28" s="22">
        <v>1.8565336080000001E-6</v>
      </c>
      <c r="L28" s="22">
        <v>2.078383536E-11</v>
      </c>
      <c r="M28" s="22">
        <v>1.9055741184E-6</v>
      </c>
      <c r="N28" s="22">
        <v>5.4738550656000002E-6</v>
      </c>
      <c r="O28" s="22">
        <v>8.710528752E-6</v>
      </c>
      <c r="P28" s="22">
        <v>1</v>
      </c>
      <c r="Q28" s="22">
        <v>1</v>
      </c>
      <c r="R28" s="22">
        <v>1</v>
      </c>
      <c r="S28" s="22">
        <v>1</v>
      </c>
      <c r="T28" s="22">
        <v>1</v>
      </c>
      <c r="U28" s="22">
        <v>1</v>
      </c>
      <c r="V28" s="22">
        <v>1</v>
      </c>
      <c r="W28" s="22">
        <v>1</v>
      </c>
      <c r="X28" s="22">
        <v>1</v>
      </c>
      <c r="Y28" s="22">
        <v>1</v>
      </c>
      <c r="Z28" s="55">
        <f t="shared" si="14"/>
        <v>0.4</v>
      </c>
      <c r="AA28" s="55">
        <f t="shared" si="14"/>
        <v>0.4</v>
      </c>
      <c r="AB28" s="55">
        <f t="shared" si="14"/>
        <v>0.4</v>
      </c>
      <c r="AC28" s="55">
        <f t="shared" si="14"/>
        <v>0.4</v>
      </c>
      <c r="AD28" s="55">
        <f t="shared" si="14"/>
        <v>0.4</v>
      </c>
      <c r="AE28" s="22">
        <v>4.1114916286149197E-6</v>
      </c>
      <c r="AF28" s="22">
        <v>209</v>
      </c>
      <c r="AG28" s="22">
        <v>1500</v>
      </c>
      <c r="AH28" s="22"/>
      <c r="AI28" s="22">
        <v>168551.966682092</v>
      </c>
      <c r="AJ28" s="24"/>
      <c r="AK28" s="24">
        <v>209</v>
      </c>
    </row>
    <row r="29" spans="1:37" x14ac:dyDescent="0.25">
      <c r="A29" s="23" t="s">
        <v>39</v>
      </c>
      <c r="B29" s="24" t="s">
        <v>289</v>
      </c>
      <c r="C29" s="24"/>
      <c r="D29" s="22">
        <v>0</v>
      </c>
      <c r="E29" s="22">
        <v>0</v>
      </c>
      <c r="F29" s="22">
        <v>1.34277588E-5</v>
      </c>
      <c r="G29" s="22">
        <v>0</v>
      </c>
      <c r="H29" s="22">
        <v>0</v>
      </c>
      <c r="I29" s="22">
        <v>0</v>
      </c>
      <c r="J29" s="22">
        <v>1.237689072E-8</v>
      </c>
      <c r="K29" s="22">
        <v>2.4053202719999999E-6</v>
      </c>
      <c r="L29" s="22">
        <v>2.6855517599999999E-11</v>
      </c>
      <c r="M29" s="22">
        <v>2.4847191936000002E-6</v>
      </c>
      <c r="N29" s="22">
        <v>7.1178797952000003E-6</v>
      </c>
      <c r="O29" s="22">
        <v>1.1361051576E-5</v>
      </c>
      <c r="P29" s="22">
        <v>1</v>
      </c>
      <c r="Q29" s="22">
        <v>1</v>
      </c>
      <c r="R29" s="22">
        <v>1</v>
      </c>
      <c r="S29" s="22">
        <v>1</v>
      </c>
      <c r="T29" s="22">
        <v>1</v>
      </c>
      <c r="U29" s="22">
        <v>1</v>
      </c>
      <c r="V29" s="22">
        <v>1</v>
      </c>
      <c r="W29" s="22">
        <v>1</v>
      </c>
      <c r="X29" s="22">
        <v>1</v>
      </c>
      <c r="Y29" s="22">
        <v>1</v>
      </c>
      <c r="Z29" s="55">
        <f t="shared" si="14"/>
        <v>0.4</v>
      </c>
      <c r="AA29" s="55">
        <f t="shared" si="14"/>
        <v>0.4</v>
      </c>
      <c r="AB29" s="55">
        <f t="shared" si="14"/>
        <v>0.4</v>
      </c>
      <c r="AC29" s="55">
        <f t="shared" si="14"/>
        <v>0.4</v>
      </c>
      <c r="AD29" s="55">
        <f t="shared" si="14"/>
        <v>0.4</v>
      </c>
      <c r="AE29" s="22">
        <v>2.4733637747336398E-6</v>
      </c>
      <c r="AF29" s="22">
        <v>210</v>
      </c>
      <c r="AG29" s="22">
        <v>1500</v>
      </c>
      <c r="AH29" s="22"/>
      <c r="AI29" s="22">
        <v>280185.23076923098</v>
      </c>
      <c r="AJ29" s="24"/>
      <c r="AK29" s="24">
        <v>210</v>
      </c>
    </row>
    <row r="30" spans="1:37" x14ac:dyDescent="0.25">
      <c r="A30" s="23" t="s">
        <v>40</v>
      </c>
      <c r="B30" s="24" t="s">
        <v>289</v>
      </c>
      <c r="C30" s="24"/>
      <c r="D30" s="22">
        <v>1.5022E-10</v>
      </c>
      <c r="E30" s="22">
        <v>9.6940000000000003E-11</v>
      </c>
      <c r="F30" s="22">
        <v>7.1108740080000005E-10</v>
      </c>
      <c r="G30" s="22">
        <v>2.8305000000000001E-8</v>
      </c>
      <c r="H30" s="22">
        <v>7.1779999999999997E-11</v>
      </c>
      <c r="I30" s="22">
        <v>5.2169999999999999E-11</v>
      </c>
      <c r="J30" s="22">
        <v>9.3760785359999994E-13</v>
      </c>
      <c r="K30" s="22">
        <v>3.5729514719999999E-10</v>
      </c>
      <c r="L30" s="22">
        <v>2.0900598480000001E-15</v>
      </c>
      <c r="M30" s="22">
        <v>2.0737130111999999E-10</v>
      </c>
      <c r="N30" s="22">
        <v>5.0628488832E-10</v>
      </c>
      <c r="O30" s="22">
        <v>6.8773477679999995E-10</v>
      </c>
      <c r="P30" s="22">
        <v>1</v>
      </c>
      <c r="Q30" s="22">
        <v>1</v>
      </c>
      <c r="R30" s="22">
        <v>1</v>
      </c>
      <c r="S30" s="22">
        <v>1</v>
      </c>
      <c r="T30" s="22">
        <v>1</v>
      </c>
      <c r="U30" s="22">
        <v>1</v>
      </c>
      <c r="V30" s="22">
        <v>1</v>
      </c>
      <c r="W30" s="22">
        <v>1</v>
      </c>
      <c r="X30" s="22">
        <v>1</v>
      </c>
      <c r="Y30" s="22">
        <v>1</v>
      </c>
      <c r="Z30" s="55">
        <f t="shared" si="14"/>
        <v>0.4</v>
      </c>
      <c r="AA30" s="55">
        <f t="shared" si="14"/>
        <v>0.4</v>
      </c>
      <c r="AB30" s="55">
        <f t="shared" si="14"/>
        <v>0.4</v>
      </c>
      <c r="AC30" s="55">
        <f t="shared" si="14"/>
        <v>0.4</v>
      </c>
      <c r="AD30" s="55">
        <f t="shared" si="14"/>
        <v>0.4</v>
      </c>
      <c r="AE30" s="22">
        <v>159200</v>
      </c>
      <c r="AF30" s="22">
        <v>233</v>
      </c>
      <c r="AG30" s="22">
        <v>0.4</v>
      </c>
      <c r="AH30" s="22">
        <v>0.02</v>
      </c>
      <c r="AI30" s="22">
        <v>4.3530150753768799E-6</v>
      </c>
      <c r="AJ30" s="24">
        <v>289207.91735594597</v>
      </c>
      <c r="AK30" s="24">
        <v>233</v>
      </c>
    </row>
  </sheetData>
  <sheetProtection algorithmName="SHA-512" hashValue="LeRSKCt1R6eIwfe7elPdWr1BS/JpziST3BPaW3rOaJdaydIqTLTtGK8jcF0sRLpoDz5YWcawoP2nVvPxqnxHog==" saltValue="MY2+P2/HU8QN6QyecEzqTA==" spinCount="100000" sheet="1" objects="1" scenarios="1" formatColumns="0" formatRows="0" autoFilter="0"/>
  <autoFilter ref="A1:AK30" xr:uid="{00000000-0009-0000-0000-000000000000}"/>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2D6DBA-D5C9-4533-A704-E5E1E807620C}">
  <sheetPr codeName="Sheet3"/>
  <dimension ref="A1:X78"/>
  <sheetViews>
    <sheetView zoomScale="80" zoomScaleNormal="80" workbookViewId="0">
      <pane ySplit="1" topLeftCell="A2" activePane="bottomLeft" state="frozen"/>
      <selection pane="bottomLeft" activeCell="A2" sqref="A2"/>
    </sheetView>
  </sheetViews>
  <sheetFormatPr defaultColWidth="12.42578125" defaultRowHeight="15" x14ac:dyDescent="0.25"/>
  <cols>
    <col min="1" max="1" width="8.28515625" style="56" customWidth="1"/>
    <col min="2" max="2" width="10.7109375" style="56" customWidth="1"/>
    <col min="3" max="3" width="14.85546875" style="56" bestFit="1" customWidth="1"/>
    <col min="4" max="4" width="9.7109375" style="56" customWidth="1"/>
    <col min="5" max="5" width="9.5703125" style="56" customWidth="1"/>
    <col min="6" max="6" width="15" style="56" bestFit="1" customWidth="1"/>
    <col min="7" max="7" width="10.85546875" style="56" customWidth="1"/>
    <col min="8" max="8" width="9.140625" style="56" customWidth="1"/>
    <col min="9" max="9" width="15" style="56" bestFit="1" customWidth="1"/>
    <col min="10" max="10" width="10.28515625" style="56" customWidth="1"/>
    <col min="11" max="11" width="9.140625" style="56" customWidth="1"/>
    <col min="12" max="12" width="15" style="56" bestFit="1" customWidth="1"/>
    <col min="13" max="13" width="11.140625" style="56" customWidth="1"/>
    <col min="14" max="14" width="9.42578125" style="56" customWidth="1"/>
    <col min="15" max="15" width="15" style="56" bestFit="1" customWidth="1"/>
    <col min="16" max="16" width="10.28515625" style="56" customWidth="1"/>
    <col min="17" max="17" width="10.85546875" style="56" customWidth="1"/>
    <col min="18" max="18" width="20.5703125" style="56" bestFit="1" customWidth="1"/>
    <col min="19" max="19" width="10.7109375" style="56" customWidth="1"/>
    <col min="20" max="20" width="11.7109375" style="56" customWidth="1"/>
    <col min="21" max="21" width="20.5703125" style="56" bestFit="1" customWidth="1"/>
    <col min="22" max="22" width="14.85546875" style="56" customWidth="1"/>
    <col min="23" max="23" width="11.140625" style="56" customWidth="1"/>
    <col min="24" max="24" width="26.5703125" style="56" bestFit="1" customWidth="1"/>
    <col min="25" max="16384" width="12.42578125" style="56"/>
  </cols>
  <sheetData>
    <row r="1" spans="1:24" ht="18.75" x14ac:dyDescent="0.3">
      <c r="A1" s="102" t="s">
        <v>52</v>
      </c>
      <c r="B1" s="102"/>
      <c r="C1" s="102"/>
      <c r="D1" s="103" t="s">
        <v>319</v>
      </c>
      <c r="E1" s="103"/>
      <c r="F1" s="103"/>
      <c r="G1" s="104" t="s">
        <v>320</v>
      </c>
      <c r="H1" s="104"/>
      <c r="I1" s="104"/>
      <c r="J1" s="105" t="s">
        <v>321</v>
      </c>
      <c r="K1" s="105"/>
      <c r="L1" s="105"/>
      <c r="M1" s="106" t="s">
        <v>322</v>
      </c>
      <c r="N1" s="106"/>
      <c r="O1" s="106"/>
      <c r="P1" s="107" t="s">
        <v>323</v>
      </c>
      <c r="Q1" s="107"/>
      <c r="R1" s="107"/>
      <c r="S1" s="100" t="s">
        <v>324</v>
      </c>
      <c r="T1" s="100"/>
      <c r="U1" s="100"/>
      <c r="V1" s="101" t="s">
        <v>325</v>
      </c>
      <c r="W1" s="101"/>
      <c r="X1" s="101"/>
    </row>
    <row r="2" spans="1:24" ht="18.75" x14ac:dyDescent="0.35">
      <c r="A2" s="56" t="s">
        <v>268</v>
      </c>
      <c r="B2" s="14">
        <v>9.9999999999999995E-7</v>
      </c>
      <c r="C2" s="56" t="s">
        <v>326</v>
      </c>
      <c r="D2" s="56" t="s">
        <v>93</v>
      </c>
      <c r="E2" s="15">
        <v>25</v>
      </c>
      <c r="F2" s="3" t="s">
        <v>53</v>
      </c>
      <c r="G2" s="56" t="s">
        <v>92</v>
      </c>
      <c r="H2" s="15">
        <v>25</v>
      </c>
      <c r="I2" s="3" t="s">
        <v>53</v>
      </c>
      <c r="J2" s="56" t="s">
        <v>91</v>
      </c>
      <c r="K2" s="15">
        <v>25</v>
      </c>
      <c r="L2" s="3" t="s">
        <v>53</v>
      </c>
      <c r="M2" s="56" t="s">
        <v>94</v>
      </c>
      <c r="N2" s="15">
        <v>1</v>
      </c>
      <c r="O2" s="3" t="s">
        <v>53</v>
      </c>
      <c r="P2" s="56" t="s">
        <v>153</v>
      </c>
      <c r="Q2" s="66">
        <f>Q_C_wind*((3600)/(Q12*(1-V)*((Um/Ut)^3)*F_x))</f>
        <v>1359344473.5814338</v>
      </c>
      <c r="R2" s="56" t="s">
        <v>95</v>
      </c>
      <c r="S2" s="57" t="s">
        <v>154</v>
      </c>
      <c r="T2" s="66">
        <f>Q_C_sc*(1/F_D)*((T_t*A_R)/((((2.6*(s/12)^0.8)*((W/3)^0.4))/((M_dry/0.2)^0.3))*((365-p_days)/365)*281.9*Σ_VKT))</f>
        <v>776129.4078035407</v>
      </c>
      <c r="U2" s="56" t="s">
        <v>95</v>
      </c>
      <c r="V2" s="57" t="s">
        <v>164</v>
      </c>
      <c r="W2" s="66">
        <f>Q_C__sc*(1/F_D)*(1/J__T)</f>
        <v>118686072.68913849</v>
      </c>
      <c r="X2" s="56" t="s">
        <v>95</v>
      </c>
    </row>
    <row r="3" spans="1:24" ht="18" x14ac:dyDescent="0.35">
      <c r="A3" s="58" t="s">
        <v>286</v>
      </c>
      <c r="B3" s="16">
        <v>1</v>
      </c>
      <c r="C3" s="3" t="s">
        <v>327</v>
      </c>
      <c r="D3" s="56" t="s">
        <v>89</v>
      </c>
      <c r="E3" s="65">
        <f>ED_ind</f>
        <v>25</v>
      </c>
      <c r="F3" s="3" t="s">
        <v>53</v>
      </c>
      <c r="G3" s="56" t="s">
        <v>88</v>
      </c>
      <c r="H3" s="65">
        <f>ED_out</f>
        <v>25</v>
      </c>
      <c r="I3" s="3" t="s">
        <v>53</v>
      </c>
      <c r="J3" s="56" t="s">
        <v>87</v>
      </c>
      <c r="K3" s="65">
        <f>ED_com</f>
        <v>25</v>
      </c>
      <c r="L3" s="3" t="s">
        <v>53</v>
      </c>
      <c r="M3" s="56" t="s">
        <v>90</v>
      </c>
      <c r="N3" s="65">
        <f>ED_con</f>
        <v>1</v>
      </c>
      <c r="O3" s="3" t="s">
        <v>53</v>
      </c>
      <c r="P3" s="59" t="s">
        <v>96</v>
      </c>
      <c r="Q3" s="15">
        <v>4.6900000000000004</v>
      </c>
      <c r="R3" s="56" t="s">
        <v>97</v>
      </c>
      <c r="S3" s="57" t="s">
        <v>160</v>
      </c>
      <c r="T3" s="66">
        <f>A_sc*EXP((((LN(Ac))-B_sc)^2)/C_sc)</f>
        <v>16.403103329458006</v>
      </c>
      <c r="U3" s="56" t="s">
        <v>328</v>
      </c>
      <c r="V3" s="57" t="s">
        <v>165</v>
      </c>
      <c r="W3" s="66">
        <f>A__sc*EXP((((LN(Ac))-B__sc)^2)/C__sc)</f>
        <v>9.4355742285493491</v>
      </c>
      <c r="X3" s="56" t="s">
        <v>328</v>
      </c>
    </row>
    <row r="4" spans="1:24" ht="18.75" x14ac:dyDescent="0.35">
      <c r="A4" s="58" t="s">
        <v>61</v>
      </c>
      <c r="B4" s="17">
        <v>0.5</v>
      </c>
      <c r="C4" s="56" t="s">
        <v>329</v>
      </c>
      <c r="D4" s="58" t="s">
        <v>66</v>
      </c>
      <c r="E4" s="16">
        <v>60</v>
      </c>
      <c r="F4" s="58" t="s">
        <v>59</v>
      </c>
      <c r="G4" s="58" t="s">
        <v>70</v>
      </c>
      <c r="H4" s="16">
        <v>60</v>
      </c>
      <c r="I4" s="58" t="s">
        <v>59</v>
      </c>
      <c r="J4" s="58" t="s">
        <v>284</v>
      </c>
      <c r="K4" s="16">
        <v>60</v>
      </c>
      <c r="L4" s="58" t="s">
        <v>59</v>
      </c>
      <c r="M4" s="58" t="s">
        <v>74</v>
      </c>
      <c r="N4" s="16">
        <v>60</v>
      </c>
      <c r="O4" s="58" t="s">
        <v>59</v>
      </c>
      <c r="P4" s="59" t="s">
        <v>98</v>
      </c>
      <c r="Q4" s="15">
        <v>11.32</v>
      </c>
      <c r="R4" s="56" t="s">
        <v>97</v>
      </c>
      <c r="S4" s="56" t="s">
        <v>169</v>
      </c>
      <c r="T4" s="66">
        <f>ED_con*EF_cw*ET_cw_o*3600</f>
        <v>7200000</v>
      </c>
      <c r="U4" s="57" t="s">
        <v>103</v>
      </c>
      <c r="V4" s="57" t="s">
        <v>126</v>
      </c>
      <c r="W4" s="66">
        <f>(M_pc_wind+M_excav+M_doz+M_grade+M_till)/(A_surf*T_t)</f>
        <v>4.2779519518602913E-7</v>
      </c>
      <c r="X4" s="56" t="s">
        <v>330</v>
      </c>
    </row>
    <row r="5" spans="1:24" ht="18" x14ac:dyDescent="0.25">
      <c r="A5" s="60" t="s">
        <v>57</v>
      </c>
      <c r="B5" s="16">
        <v>1</v>
      </c>
      <c r="C5" s="56" t="s">
        <v>331</v>
      </c>
      <c r="D5" s="58" t="s">
        <v>83</v>
      </c>
      <c r="E5" s="16">
        <v>50</v>
      </c>
      <c r="F5" s="58" t="s">
        <v>54</v>
      </c>
      <c r="G5" s="58" t="s">
        <v>84</v>
      </c>
      <c r="H5" s="16">
        <v>100</v>
      </c>
      <c r="I5" s="58" t="s">
        <v>54</v>
      </c>
      <c r="J5" s="58" t="s">
        <v>65</v>
      </c>
      <c r="K5" s="16">
        <v>100</v>
      </c>
      <c r="L5" s="58" t="s">
        <v>54</v>
      </c>
      <c r="M5" s="58" t="s">
        <v>85</v>
      </c>
      <c r="N5" s="16">
        <v>330</v>
      </c>
      <c r="O5" s="58" t="s">
        <v>54</v>
      </c>
      <c r="P5" s="61" t="s">
        <v>99</v>
      </c>
      <c r="Q5" s="18">
        <v>0.19400000000000001</v>
      </c>
      <c r="R5" s="57" t="s">
        <v>60</v>
      </c>
      <c r="S5" s="57" t="s">
        <v>104</v>
      </c>
      <c r="T5" s="66">
        <f>L_R*W_R*T24</f>
        <v>867.14059713578104</v>
      </c>
      <c r="U5" s="57" t="s">
        <v>105</v>
      </c>
      <c r="V5" s="57" t="s">
        <v>127</v>
      </c>
      <c r="W5" s="66">
        <f>0.036*(1-V)*((Um/Ut)^3)*F_x*ED_con*A_surf*8760</f>
        <v>44019.567729252136</v>
      </c>
      <c r="X5" s="57" t="s">
        <v>128</v>
      </c>
    </row>
    <row r="6" spans="1:24" ht="18" x14ac:dyDescent="0.25">
      <c r="A6" s="60" t="s">
        <v>58</v>
      </c>
      <c r="B6" s="16">
        <v>0.4</v>
      </c>
      <c r="C6" s="56" t="s">
        <v>331</v>
      </c>
      <c r="D6" s="58" t="s">
        <v>67</v>
      </c>
      <c r="E6" s="16">
        <v>250</v>
      </c>
      <c r="F6" s="58" t="s">
        <v>55</v>
      </c>
      <c r="G6" s="58" t="s">
        <v>71</v>
      </c>
      <c r="H6" s="16">
        <v>225</v>
      </c>
      <c r="I6" s="58" t="s">
        <v>55</v>
      </c>
      <c r="J6" s="58" t="s">
        <v>62</v>
      </c>
      <c r="K6" s="16">
        <v>250</v>
      </c>
      <c r="L6" s="58" t="s">
        <v>55</v>
      </c>
      <c r="M6" s="58" t="s">
        <v>75</v>
      </c>
      <c r="N6" s="19">
        <f>N7*N8</f>
        <v>250</v>
      </c>
      <c r="O6" s="58" t="s">
        <v>55</v>
      </c>
      <c r="P6" s="61" t="s">
        <v>100</v>
      </c>
      <c r="Q6" s="18">
        <v>0.5</v>
      </c>
      <c r="R6" s="56" t="s">
        <v>331</v>
      </c>
      <c r="S6" s="57" t="s">
        <v>106</v>
      </c>
      <c r="T6" s="66">
        <f>((N_cars*T26)+(N_trucks*T27))/(N_cars+N_trucks)</f>
        <v>8</v>
      </c>
      <c r="U6" s="57" t="s">
        <v>107</v>
      </c>
      <c r="V6" s="57" t="s">
        <v>129</v>
      </c>
      <c r="W6" s="66">
        <f>(0.35*0.0016*((Um/2.2)^1.3)/((M_m_excav/2)^1.4))*ρ_soil*A_excav*d_excav*N_A_dump*1000</f>
        <v>1658.1505859098856</v>
      </c>
      <c r="X6" s="57" t="s">
        <v>128</v>
      </c>
    </row>
    <row r="7" spans="1:24" ht="18" x14ac:dyDescent="0.35">
      <c r="A7" s="60"/>
      <c r="B7" s="16"/>
      <c r="D7" s="58" t="s">
        <v>68</v>
      </c>
      <c r="E7" s="16">
        <v>0</v>
      </c>
      <c r="F7" s="58" t="s">
        <v>332</v>
      </c>
      <c r="G7" s="58" t="s">
        <v>72</v>
      </c>
      <c r="H7" s="16">
        <v>8</v>
      </c>
      <c r="I7" s="58" t="s">
        <v>332</v>
      </c>
      <c r="J7" s="58" t="s">
        <v>63</v>
      </c>
      <c r="K7" s="16">
        <v>4</v>
      </c>
      <c r="L7" s="58" t="s">
        <v>332</v>
      </c>
      <c r="M7" s="58" t="s">
        <v>78</v>
      </c>
      <c r="N7" s="16">
        <v>5</v>
      </c>
      <c r="O7" s="58" t="s">
        <v>79</v>
      </c>
      <c r="P7" s="57" t="s">
        <v>156</v>
      </c>
      <c r="Q7" s="66">
        <f>A_wind*EXP((((LN(As))-B_wind)^2)/C_wind)</f>
        <v>93.773582452087695</v>
      </c>
      <c r="R7" s="56" t="s">
        <v>328</v>
      </c>
      <c r="S7" s="57" t="s">
        <v>108</v>
      </c>
      <c r="T7" s="66">
        <f>(N_cars+N_trucks)*distance*EW_cw*DW_cw</f>
        <v>1066.8565089676306</v>
      </c>
      <c r="U7" s="57" t="s">
        <v>109</v>
      </c>
      <c r="V7" s="57" t="s">
        <v>130</v>
      </c>
      <c r="W7" s="66">
        <f>0.75*((0.45*(s_doz^1.5))/(M_m_doz^1.4))*(Σ_VKT_doz/S_doz_speed)*1000</f>
        <v>739.26351214461999</v>
      </c>
      <c r="X7" s="57" t="s">
        <v>128</v>
      </c>
    </row>
    <row r="8" spans="1:24" x14ac:dyDescent="0.25">
      <c r="D8" s="58" t="s">
        <v>69</v>
      </c>
      <c r="E8" s="16">
        <v>8</v>
      </c>
      <c r="F8" s="58" t="s">
        <v>333</v>
      </c>
      <c r="G8" s="58" t="s">
        <v>73</v>
      </c>
      <c r="H8" s="16">
        <v>0</v>
      </c>
      <c r="I8" s="58" t="s">
        <v>333</v>
      </c>
      <c r="J8" s="58" t="s">
        <v>64</v>
      </c>
      <c r="K8" s="16">
        <v>4</v>
      </c>
      <c r="L8" s="58" t="s">
        <v>333</v>
      </c>
      <c r="M8" s="58" t="s">
        <v>80</v>
      </c>
      <c r="N8" s="16">
        <v>50</v>
      </c>
      <c r="O8" s="58" t="s">
        <v>81</v>
      </c>
      <c r="P8" s="61" t="s">
        <v>101</v>
      </c>
      <c r="Q8" s="18">
        <v>0.5</v>
      </c>
      <c r="R8" s="57" t="s">
        <v>102</v>
      </c>
      <c r="S8" s="57" t="s">
        <v>110</v>
      </c>
      <c r="T8" s="66">
        <f>0.1852+(5.3537/t_c)+(-9.6318/(t_c)^2)</f>
        <v>0.18583720873299323</v>
      </c>
      <c r="U8" s="57" t="s">
        <v>60</v>
      </c>
      <c r="V8" s="57" t="s">
        <v>131</v>
      </c>
      <c r="W8" s="66">
        <f>0.6*0.0056*(S_grade^2)*Σ_VKT_grade*1000</f>
        <v>10863.846413114754</v>
      </c>
      <c r="X8" s="57" t="s">
        <v>128</v>
      </c>
    </row>
    <row r="9" spans="1:24" ht="18" x14ac:dyDescent="0.35">
      <c r="A9" s="58"/>
      <c r="B9" s="16"/>
      <c r="C9" s="58"/>
      <c r="F9" s="3"/>
      <c r="M9" s="58" t="s">
        <v>76</v>
      </c>
      <c r="N9" s="16">
        <v>8</v>
      </c>
      <c r="O9" s="58" t="s">
        <v>332</v>
      </c>
      <c r="P9" s="57" t="s">
        <v>157</v>
      </c>
      <c r="Q9" s="20">
        <v>16.2302</v>
      </c>
      <c r="R9" s="57"/>
      <c r="S9" s="57" t="s">
        <v>111</v>
      </c>
      <c r="T9" s="66">
        <f>ED_con*EW_cw*T22*T23</f>
        <v>8400</v>
      </c>
      <c r="U9" s="57" t="s">
        <v>112</v>
      </c>
      <c r="V9" s="57" t="s">
        <v>132</v>
      </c>
      <c r="W9" s="66">
        <f>1.1*(s_till^0.6)*A_till*4047*(1/10000)*1000*N_A_till</f>
        <v>5043.3532488378178</v>
      </c>
      <c r="X9" s="57" t="s">
        <v>128</v>
      </c>
    </row>
    <row r="10" spans="1:24" ht="18" x14ac:dyDescent="0.35">
      <c r="A10" s="58"/>
      <c r="B10" s="16"/>
      <c r="C10" s="58"/>
      <c r="E10" s="15"/>
      <c r="M10" s="58" t="s">
        <v>77</v>
      </c>
      <c r="N10" s="16">
        <v>0</v>
      </c>
      <c r="O10" s="58" t="s">
        <v>333</v>
      </c>
      <c r="P10" s="57" t="s">
        <v>158</v>
      </c>
      <c r="Q10" s="20">
        <v>18.776199999999999</v>
      </c>
      <c r="R10" s="57"/>
      <c r="S10" s="57" t="s">
        <v>113</v>
      </c>
      <c r="T10" s="66">
        <f>SQRT(Ac*43560.17)</f>
        <v>466.69138625005706</v>
      </c>
      <c r="U10" s="57" t="s">
        <v>114</v>
      </c>
      <c r="V10" s="57" t="s">
        <v>133</v>
      </c>
      <c r="W10" s="66">
        <f>Ac*4046.86</f>
        <v>20234.3</v>
      </c>
      <c r="X10" s="57" t="s">
        <v>105</v>
      </c>
    </row>
    <row r="11" spans="1:24" ht="18" x14ac:dyDescent="0.35">
      <c r="A11" s="58"/>
      <c r="B11" s="16"/>
      <c r="C11" s="58"/>
      <c r="P11" s="57" t="s">
        <v>159</v>
      </c>
      <c r="Q11" s="20">
        <v>216.108</v>
      </c>
      <c r="R11" s="57"/>
      <c r="S11" s="57" t="s">
        <v>115</v>
      </c>
      <c r="T11" s="66">
        <f>L_R*0.0003048</f>
        <v>0.14224753452901739</v>
      </c>
      <c r="U11" s="57" t="s">
        <v>116</v>
      </c>
      <c r="V11" s="57" t="s">
        <v>134</v>
      </c>
      <c r="W11" s="66">
        <f>Ac_doz*A_excav*(1/B_doz)*(1/1000)*N_A_doz</f>
        <v>24.879098360655735</v>
      </c>
      <c r="X11" s="57" t="s">
        <v>109</v>
      </c>
    </row>
    <row r="12" spans="1:24" x14ac:dyDescent="0.25">
      <c r="A12" s="58"/>
      <c r="B12" s="16"/>
      <c r="C12" s="58"/>
      <c r="P12" s="57"/>
      <c r="Q12" s="18">
        <v>3.5999999999999997E-2</v>
      </c>
      <c r="R12" s="56" t="s">
        <v>334</v>
      </c>
      <c r="S12" s="57" t="s">
        <v>117</v>
      </c>
      <c r="T12" s="18">
        <v>20</v>
      </c>
      <c r="U12" s="57" t="s">
        <v>114</v>
      </c>
      <c r="V12" s="57" t="s">
        <v>135</v>
      </c>
      <c r="W12" s="66">
        <f>Ac_grade*A_excav*(1/B_grade)*(1/1000)*N_A_grade</f>
        <v>24.879098360655735</v>
      </c>
      <c r="X12" s="57" t="s">
        <v>109</v>
      </c>
    </row>
    <row r="13" spans="1:24" x14ac:dyDescent="0.25">
      <c r="A13" s="58"/>
      <c r="B13" s="16"/>
      <c r="C13" s="58"/>
      <c r="S13" s="57" t="s">
        <v>118</v>
      </c>
      <c r="T13" s="18">
        <v>20</v>
      </c>
      <c r="U13" s="56" t="s">
        <v>335</v>
      </c>
      <c r="V13" s="61" t="s">
        <v>136</v>
      </c>
      <c r="W13" s="18">
        <v>1.68</v>
      </c>
      <c r="X13" s="57" t="s">
        <v>137</v>
      </c>
    </row>
    <row r="14" spans="1:24" x14ac:dyDescent="0.25">
      <c r="A14" s="58"/>
      <c r="B14" s="16"/>
      <c r="C14" s="58"/>
      <c r="S14" s="57" t="s">
        <v>119</v>
      </c>
      <c r="T14" s="18">
        <v>10</v>
      </c>
      <c r="U14" s="56" t="s">
        <v>336</v>
      </c>
      <c r="V14" s="61" t="s">
        <v>138</v>
      </c>
      <c r="W14" s="18">
        <v>4047</v>
      </c>
      <c r="X14" s="57" t="s">
        <v>105</v>
      </c>
    </row>
    <row r="15" spans="1:24" x14ac:dyDescent="0.25">
      <c r="A15" s="58"/>
      <c r="B15" s="16"/>
      <c r="C15" s="58"/>
      <c r="D15" s="58"/>
      <c r="E15" s="16"/>
      <c r="F15" s="58"/>
      <c r="S15" s="57" t="s">
        <v>152</v>
      </c>
      <c r="T15" s="18">
        <v>5</v>
      </c>
      <c r="U15" s="57" t="s">
        <v>102</v>
      </c>
      <c r="V15" s="61" t="s">
        <v>139</v>
      </c>
      <c r="W15" s="18">
        <v>1</v>
      </c>
      <c r="X15" s="57" t="s">
        <v>82</v>
      </c>
    </row>
    <row r="16" spans="1:24" x14ac:dyDescent="0.25">
      <c r="A16" s="58"/>
      <c r="B16" s="16"/>
      <c r="C16" s="58"/>
      <c r="S16" s="57" t="s">
        <v>120</v>
      </c>
      <c r="T16" s="18">
        <v>0.2</v>
      </c>
      <c r="U16" s="57" t="s">
        <v>121</v>
      </c>
      <c r="V16" s="61" t="s">
        <v>140</v>
      </c>
      <c r="W16" s="18">
        <v>2</v>
      </c>
      <c r="X16" s="56" t="s">
        <v>337</v>
      </c>
    </row>
    <row r="17" spans="1:24" ht="18" x14ac:dyDescent="0.35">
      <c r="A17" s="58"/>
      <c r="B17" s="16"/>
      <c r="C17" s="58"/>
      <c r="S17" s="57" t="s">
        <v>155</v>
      </c>
      <c r="T17" s="18">
        <v>70</v>
      </c>
      <c r="U17" s="57" t="s">
        <v>55</v>
      </c>
      <c r="V17" s="61" t="s">
        <v>141</v>
      </c>
      <c r="W17" s="18">
        <v>12</v>
      </c>
      <c r="X17" s="57" t="s">
        <v>121</v>
      </c>
    </row>
    <row r="18" spans="1:24" x14ac:dyDescent="0.25">
      <c r="A18" s="58"/>
      <c r="B18" s="16"/>
      <c r="C18" s="58"/>
      <c r="S18" s="57" t="s">
        <v>122</v>
      </c>
      <c r="T18" s="18">
        <v>8.5</v>
      </c>
      <c r="U18" s="57" t="s">
        <v>121</v>
      </c>
      <c r="V18" s="61" t="s">
        <v>142</v>
      </c>
      <c r="W18" s="18">
        <v>6.9</v>
      </c>
      <c r="X18" s="57" t="s">
        <v>121</v>
      </c>
    </row>
    <row r="19" spans="1:24" ht="18" x14ac:dyDescent="0.35">
      <c r="A19" s="60"/>
      <c r="B19" s="62"/>
      <c r="C19" s="60"/>
      <c r="S19" s="57" t="s">
        <v>161</v>
      </c>
      <c r="T19" s="20">
        <v>12.9351</v>
      </c>
      <c r="U19" s="57"/>
      <c r="V19" s="61" t="s">
        <v>143</v>
      </c>
      <c r="W19" s="18">
        <v>7.9</v>
      </c>
      <c r="X19" s="57" t="s">
        <v>121</v>
      </c>
    </row>
    <row r="20" spans="1:24" ht="18" x14ac:dyDescent="0.35">
      <c r="A20" s="60"/>
      <c r="B20" s="62"/>
      <c r="C20" s="60"/>
      <c r="D20" s="58"/>
      <c r="E20" s="16"/>
      <c r="F20" s="58"/>
      <c r="S20" s="57" t="s">
        <v>162</v>
      </c>
      <c r="T20" s="20">
        <v>5.7382999999999997</v>
      </c>
      <c r="U20" s="57"/>
      <c r="V20" s="61" t="s">
        <v>170</v>
      </c>
      <c r="W20" s="18">
        <v>11.4</v>
      </c>
      <c r="X20" s="57" t="s">
        <v>144</v>
      </c>
    </row>
    <row r="21" spans="1:24" ht="18" x14ac:dyDescent="0.35">
      <c r="A21" s="60"/>
      <c r="B21" s="62"/>
      <c r="C21" s="60"/>
      <c r="S21" s="57" t="s">
        <v>163</v>
      </c>
      <c r="T21" s="20">
        <v>71.771100000000004</v>
      </c>
      <c r="U21" s="57"/>
      <c r="V21" s="61" t="s">
        <v>145</v>
      </c>
      <c r="W21" s="18">
        <v>11.4</v>
      </c>
      <c r="X21" s="57" t="s">
        <v>144</v>
      </c>
    </row>
    <row r="22" spans="1:24" x14ac:dyDescent="0.25">
      <c r="A22" s="60"/>
      <c r="B22" s="62"/>
      <c r="C22" s="60"/>
      <c r="S22" s="57"/>
      <c r="T22" s="18">
        <v>7</v>
      </c>
      <c r="U22" s="57" t="s">
        <v>79</v>
      </c>
      <c r="V22" s="61" t="s">
        <v>146</v>
      </c>
      <c r="W22" s="18">
        <v>18</v>
      </c>
      <c r="X22" s="57" t="s">
        <v>121</v>
      </c>
    </row>
    <row r="23" spans="1:24" x14ac:dyDescent="0.25">
      <c r="A23" s="60"/>
      <c r="B23" s="62"/>
      <c r="C23" s="60"/>
      <c r="S23" s="57"/>
      <c r="T23" s="18">
        <v>24</v>
      </c>
      <c r="U23" s="57" t="s">
        <v>56</v>
      </c>
      <c r="V23" s="61" t="s">
        <v>147</v>
      </c>
      <c r="W23" s="18">
        <v>1</v>
      </c>
      <c r="X23" s="57" t="s">
        <v>102</v>
      </c>
    </row>
    <row r="24" spans="1:24" x14ac:dyDescent="0.25">
      <c r="A24" s="60"/>
      <c r="B24" s="62"/>
      <c r="C24" s="60"/>
      <c r="S24" s="57"/>
      <c r="T24" s="18">
        <v>9.2902999999999999E-2</v>
      </c>
      <c r="U24" s="57" t="s">
        <v>123</v>
      </c>
      <c r="V24" s="61" t="s">
        <v>148</v>
      </c>
      <c r="W24" s="18">
        <v>2</v>
      </c>
      <c r="X24" s="56" t="s">
        <v>338</v>
      </c>
    </row>
    <row r="25" spans="1:24" x14ac:dyDescent="0.25">
      <c r="A25" s="60"/>
      <c r="B25" s="62"/>
      <c r="C25" s="60"/>
      <c r="D25" s="58"/>
      <c r="E25" s="16"/>
      <c r="F25" s="58"/>
      <c r="S25" s="57"/>
      <c r="T25" s="18">
        <v>365</v>
      </c>
      <c r="U25" s="57" t="s">
        <v>55</v>
      </c>
      <c r="V25" s="61" t="s">
        <v>149</v>
      </c>
      <c r="W25" s="18">
        <v>5</v>
      </c>
      <c r="X25" s="57" t="s">
        <v>102</v>
      </c>
    </row>
    <row r="26" spans="1:24" x14ac:dyDescent="0.25">
      <c r="A26" s="60"/>
      <c r="B26" s="62"/>
      <c r="C26" s="60"/>
      <c r="S26" s="57"/>
      <c r="T26" s="18">
        <v>2</v>
      </c>
      <c r="U26" s="57" t="s">
        <v>124</v>
      </c>
      <c r="V26" s="61" t="s">
        <v>150</v>
      </c>
      <c r="W26" s="18">
        <v>5</v>
      </c>
      <c r="X26" s="57" t="s">
        <v>102</v>
      </c>
    </row>
    <row r="27" spans="1:24" x14ac:dyDescent="0.25">
      <c r="A27" s="60"/>
      <c r="B27" s="62"/>
      <c r="C27" s="60"/>
      <c r="S27" s="57"/>
      <c r="T27" s="18">
        <v>20</v>
      </c>
      <c r="U27" s="57" t="s">
        <v>125</v>
      </c>
      <c r="V27" s="61" t="s">
        <v>264</v>
      </c>
      <c r="W27" s="18">
        <v>2.44</v>
      </c>
      <c r="X27" s="57" t="s">
        <v>82</v>
      </c>
    </row>
    <row r="28" spans="1:24" x14ac:dyDescent="0.25">
      <c r="A28" s="60"/>
      <c r="B28" s="62"/>
      <c r="V28" s="61" t="s">
        <v>263</v>
      </c>
      <c r="W28" s="18">
        <v>2.44</v>
      </c>
      <c r="X28" s="57" t="s">
        <v>82</v>
      </c>
    </row>
    <row r="29" spans="1:24" x14ac:dyDescent="0.25">
      <c r="V29" s="61" t="s">
        <v>151</v>
      </c>
      <c r="W29" s="18">
        <v>3</v>
      </c>
      <c r="X29" s="56" t="s">
        <v>339</v>
      </c>
    </row>
    <row r="30" spans="1:24" x14ac:dyDescent="0.25">
      <c r="V30" s="61" t="s">
        <v>262</v>
      </c>
      <c r="W30" s="15">
        <v>3</v>
      </c>
      <c r="X30" s="56" t="s">
        <v>340</v>
      </c>
    </row>
    <row r="31" spans="1:24" ht="18" x14ac:dyDescent="0.35">
      <c r="V31" s="57" t="s">
        <v>166</v>
      </c>
      <c r="W31" s="20">
        <v>2.4538000000000002</v>
      </c>
      <c r="X31" s="57"/>
    </row>
    <row r="32" spans="1:24" ht="18" x14ac:dyDescent="0.35">
      <c r="V32" s="57" t="s">
        <v>167</v>
      </c>
      <c r="W32" s="20">
        <v>17.565999999999999</v>
      </c>
    </row>
    <row r="33" spans="4:23" ht="18" x14ac:dyDescent="0.35">
      <c r="V33" s="57" t="s">
        <v>168</v>
      </c>
      <c r="W33" s="20">
        <v>189.04259999999999</v>
      </c>
    </row>
    <row r="35" spans="4:23" x14ac:dyDescent="0.25">
      <c r="D35" s="58"/>
      <c r="E35" s="16"/>
      <c r="F35" s="58"/>
    </row>
    <row r="36" spans="4:23" x14ac:dyDescent="0.25">
      <c r="D36" s="58"/>
      <c r="E36" s="16"/>
      <c r="F36" s="58"/>
    </row>
    <row r="39" spans="4:23" x14ac:dyDescent="0.25">
      <c r="D39" s="58"/>
      <c r="E39" s="16"/>
    </row>
    <row r="40" spans="4:23" x14ac:dyDescent="0.25">
      <c r="F40" s="58"/>
    </row>
    <row r="41" spans="4:23" x14ac:dyDescent="0.25">
      <c r="D41" s="58"/>
      <c r="E41" s="16"/>
      <c r="F41" s="58"/>
    </row>
    <row r="42" spans="4:23" x14ac:dyDescent="0.25">
      <c r="D42" s="58"/>
      <c r="E42" s="16"/>
      <c r="F42" s="58"/>
    </row>
    <row r="74" spans="5:5" x14ac:dyDescent="0.25">
      <c r="E74" s="63"/>
    </row>
    <row r="76" spans="5:5" x14ac:dyDescent="0.25">
      <c r="E76" s="64"/>
    </row>
    <row r="77" spans="5:5" x14ac:dyDescent="0.25">
      <c r="E77" s="64"/>
    </row>
    <row r="78" spans="5:5" x14ac:dyDescent="0.25">
      <c r="E78" s="64"/>
    </row>
  </sheetData>
  <sheetProtection algorithmName="SHA-512" hashValue="K5Ua0oGG/sUjDD3qSgt1OFuCO/7Zem25XvejBtc6X4icv8M4YP/CR6xTRpAMip4cA1CBOrTSOOk/2piL+IuxtA==" saltValue="/510xt8tP/ubZAck3cjToA==" spinCount="100000" sheet="1" formatColumns="0" formatRows="0" autoFilter="0"/>
  <mergeCells count="8">
    <mergeCell ref="S1:U1"/>
    <mergeCell ref="V1:X1"/>
    <mergeCell ref="A1:C1"/>
    <mergeCell ref="D1:F1"/>
    <mergeCell ref="G1:I1"/>
    <mergeCell ref="J1:L1"/>
    <mergeCell ref="M1:O1"/>
    <mergeCell ref="P1:R1"/>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tabColor theme="9" tint="-0.499984740745262"/>
  </sheetPr>
  <dimension ref="A1:O78"/>
  <sheetViews>
    <sheetView zoomScale="90" zoomScaleNormal="90" workbookViewId="0">
      <pane xSplit="2" ySplit="1" topLeftCell="C2" activePane="bottomRight" state="frozen"/>
      <selection activeCell="AA1390" sqref="AA1390"/>
      <selection pane="topRight" activeCell="AA1390" sqref="AA1390"/>
      <selection pane="bottomLeft" activeCell="AA1390" sqref="AA1390"/>
      <selection pane="bottomRight" activeCell="C2" sqref="C2"/>
    </sheetView>
  </sheetViews>
  <sheetFormatPr defaultColWidth="9.140625" defaultRowHeight="15" x14ac:dyDescent="0.25"/>
  <cols>
    <col min="1" max="1" width="15.42578125" style="3" customWidth="1"/>
    <col min="2" max="2" width="13.28515625" style="3" bestFit="1" customWidth="1"/>
    <col min="3" max="3" width="13.28515625" style="3" customWidth="1"/>
    <col min="4" max="4" width="14.42578125" style="2" bestFit="1" customWidth="1"/>
    <col min="5" max="5" width="14.5703125" style="2" bestFit="1" customWidth="1"/>
    <col min="6" max="6" width="14.28515625" style="2" bestFit="1" customWidth="1"/>
    <col min="7" max="7" width="14.140625" style="2" bestFit="1" customWidth="1"/>
    <col min="8" max="8" width="13.5703125" style="2" bestFit="1" customWidth="1"/>
    <col min="9" max="10" width="15.42578125" style="2" bestFit="1" customWidth="1"/>
    <col min="11" max="11" width="16.42578125" style="2" bestFit="1" customWidth="1"/>
    <col min="12" max="13" width="13.85546875" style="2" bestFit="1" customWidth="1"/>
    <col min="14" max="14" width="14.140625" style="2" bestFit="1" customWidth="1"/>
    <col min="15" max="15" width="13.28515625" style="2" bestFit="1" customWidth="1"/>
    <col min="16" max="16384" width="9.140625" style="2"/>
  </cols>
  <sheetData>
    <row r="1" spans="1:15" x14ac:dyDescent="0.25">
      <c r="A1" s="21" t="s">
        <v>51</v>
      </c>
      <c r="B1" s="21" t="s">
        <v>274</v>
      </c>
      <c r="C1" s="108"/>
      <c r="D1" s="22" t="s">
        <v>341</v>
      </c>
      <c r="E1" s="22" t="s">
        <v>342</v>
      </c>
      <c r="F1" s="22" t="s">
        <v>343</v>
      </c>
      <c r="G1" s="22" t="s">
        <v>344</v>
      </c>
      <c r="H1" s="22" t="s">
        <v>345</v>
      </c>
      <c r="I1" s="22" t="s">
        <v>346</v>
      </c>
      <c r="J1" s="22" t="s">
        <v>347</v>
      </c>
      <c r="K1" s="22" t="s">
        <v>348</v>
      </c>
      <c r="L1" s="22" t="s">
        <v>349</v>
      </c>
      <c r="M1" s="22" t="s">
        <v>350</v>
      </c>
      <c r="N1" s="22" t="s">
        <v>351</v>
      </c>
      <c r="O1" s="22" t="s">
        <v>352</v>
      </c>
    </row>
    <row r="2" spans="1:15" ht="15" customHeight="1" x14ac:dyDescent="0.25">
      <c r="A2" s="23" t="s">
        <v>12</v>
      </c>
      <c r="B2" s="24" t="s">
        <v>289</v>
      </c>
      <c r="C2" s="2"/>
      <c r="D2" s="22">
        <f>IFERROR((TR/(RadSpec!I2*EF_iw*ED_ind*IRS_iw*(1/1000)))*1,".")</f>
        <v>35.445281346920687</v>
      </c>
      <c r="E2" s="22">
        <f>IFERROR(IF(A2="H-3",(TR/(RadSpec!G2*EF_iw*ED_ind*ET_iw_i*(1/24)*IRA_iw*(1/17)*1000))*1,(TR/(RadSpec!G2*EF_iw*ED_ind*ET_iw_i*(1/24)*IRA_iw*(1/PEF_wind)*1000))*1),".")</f>
        <v>380.71543861684188</v>
      </c>
      <c r="F2" s="22">
        <f>IFERROR((TR/(RadSpec!F2*EF_iw*(1/365)*ED_ind*RadSpec!Q2*ET_iw_i*(1/24)*RadSpec!AA2))*1,".")</f>
        <v>10.626584842312749</v>
      </c>
      <c r="G2" s="22">
        <f t="shared" ref="G2" si="0">(IF(AND(ISNUMBER(D2),ISNUMBER(E2),ISNUMBER(F2)),1/((1/D2)+(1/E2)+(1/F2)),IF(AND(ISNUMBER(D2),ISNUMBER(E2),NOT(ISNUMBER(F2))), 1/((1/D2)+(1/E2)),IF(AND(ISNUMBER(D2),NOT(ISNUMBER(E2)),ISNUMBER(F2)),1/((1/D2)+(1/F2)),IF(AND(NOT(ISNUMBER(D2)),ISNUMBER(E2),ISNUMBER(F2)),1/((1/E2)+(1/F2)),IF(AND(ISNUMBER(D2),NOT(ISNUMBER(E2)),NOT(ISNUMBER(F2))),1/((1/D2)),IF(AND(NOT(ISNUMBER(D2)),NOT(ISNUMBER(E2)),ISNUMBER(F2)),1/((1/F2)),IF(AND(NOT(ISNUMBER(D2)),ISNUMBER(E2),NOT(ISNUMBER(F2))),1/((1/E2)),IF(AND(NOT(ISNUMBER(D2)),NOT(ISNUMBER(E2)),NOT(ISNUMBER(F2))),".")))))))))</f>
        <v>8.0036660563238122</v>
      </c>
      <c r="H2" s="44">
        <f>IFERROR((TR/(RadSpec!F2*EF_iw*(1/365)*ED_ind*RadSpec!Q2*ET_iw_i*(1/24)*RadSpec!AA2))*1,".")</f>
        <v>10.626584842312749</v>
      </c>
      <c r="I2" s="44">
        <f>IFERROR((TR/(RadSpec!M2*EF_iw*(1/365)*ED_ind*RadSpec!R2*ET_iw_i*(1/24)*RadSpec!AB2))*1,".")</f>
        <v>37.936735935845476</v>
      </c>
      <c r="J2" s="44">
        <f>IFERROR((TR/(RadSpec!N2*EF_iw*(1/365)*ED_ind*RadSpec!S2*ET_iw_i*(1/24)*RadSpec!AC2))*1,".")</f>
        <v>14.653064255220313</v>
      </c>
      <c r="K2" s="44">
        <f>IFERROR((TR/(RadSpec!O2*EF_iw*(1/365)*ED_ind*RadSpec!T2*ET_iw_i*(1/24)*RadSpec!AD2))*1,".")</f>
        <v>10.904605957373255</v>
      </c>
      <c r="L2" s="44">
        <f>IFERROR((TR/(RadSpec!K2*EF_iw*(1/365)*ED_ind*RadSpec!P2*ET_iw_i*(1/24)*RadSpec!Z2))*1,".")</f>
        <v>36.419266498411645</v>
      </c>
      <c r="M2" s="22">
        <f>IFERROR(TR/(RadSpec!G2*EF_iw*ED_ind*ET_iw_i*(1/24)*IRA_iw),".")</f>
        <v>2.8007281893292258E-4</v>
      </c>
      <c r="N2" s="22">
        <f>IFERROR(TR/(RadSpec!J2*EF_iw*(1/365)*ED_ind*ET_iw_i*(1/24)*GSF_a),".")</f>
        <v>3402.4348746815417</v>
      </c>
      <c r="O2" s="22">
        <f t="shared" ref="O2" si="1">IFERROR(IF(AND(ISNUMBER(M2),ISNUMBER(N2)),1/((1/M2)+(1/N2)),IF(AND(ISNUMBER(M2),NOT(ISNUMBER(N2))),1/((1/M2)),IF(AND(NOT(ISNUMBER(M2)),ISNUMBER(N2)),1/((1/N2)),IF(AND(NOT(ISNUMBER(M2)),NOT(ISNUMBER(N2))),".")))),".")</f>
        <v>2.800727958786158E-4</v>
      </c>
    </row>
    <row r="3" spans="1:15" x14ac:dyDescent="0.25">
      <c r="A3" s="25" t="s">
        <v>13</v>
      </c>
      <c r="B3" s="24" t="s">
        <v>275</v>
      </c>
      <c r="C3" s="2"/>
      <c r="D3" s="22">
        <f>IFERROR((TR/(RadSpec!I3*EF_iw*ED_ind*IRS_iw*(1/1000)))*1,".")</f>
        <v>35.157108327840035</v>
      </c>
      <c r="E3" s="22">
        <f>IFERROR(IF(A3="H-3",(TR/(RadSpec!G3*EF_iw*ED_ind*ET_iw_i*(1/24)*IRA_iw*(1/17)*1000))*1,(TR/(RadSpec!G3*EF_iw*ED_ind*ET_iw_i*(1/24)*IRA_iw*(1/PEF_wind)*1000))*1),".")</f>
        <v>288.14933197274695</v>
      </c>
      <c r="F3" s="22">
        <f>IFERROR((TR/(RadSpec!F3*EF_iw*(1/365)*ED_ind*RadSpec!Q3*ET_iw_i*(1/24)*RadSpec!AA3))*1,".")</f>
        <v>15.827782486651477</v>
      </c>
      <c r="G3" s="22">
        <f>(IF(AND(ISNUMBER(D3),ISNUMBER(E3),ISNUMBER(F3)),1/((1/D3)+(1/E3)+(1/F3)),IF(AND(ISNUMBER(D3),ISNUMBER(E3),NOT(ISNUMBER(F3))), 1/((1/D3)+(1/E3)),IF(AND(ISNUMBER(D3),NOT(ISNUMBER(E3)),ISNUMBER(F3)),1/((1/D3)+(1/F3)),IF(AND(NOT(ISNUMBER(D3)),ISNUMBER(E3),ISNUMBER(F3)),1/((1/E3)+(1/F3)),IF(AND(ISNUMBER(D3),NOT(ISNUMBER(E3)),NOT(ISNUMBER(F3))),1/((1/D3)),IF(AND(NOT(ISNUMBER(D3)),NOT(ISNUMBER(E3)),ISNUMBER(F3)),1/((1/F3)),IF(AND(NOT(ISNUMBER(D3)),ISNUMBER(E3),NOT(ISNUMBER(F3))),1/((1/E3)),IF(AND(NOT(ISNUMBER(D3)),NOT(ISNUMBER(E3)),NOT(ISNUMBER(F3))),".")))))))))</f>
        <v>10.515886560049738</v>
      </c>
      <c r="H3" s="44">
        <f>IFERROR((TR/(RadSpec!F3*EF_iw*(1/365)*ED_ind*RadSpec!Q3*ET_iw_i*(1/24)*RadSpec!AA3))*1,".")</f>
        <v>15.827782486651477</v>
      </c>
      <c r="I3" s="44">
        <f>IFERROR((TR/(RadSpec!M3*EF_iw*(1/365)*ED_ind*RadSpec!R3*ET_iw_i*(1/24)*RadSpec!AB3))*1,".")</f>
        <v>31.843671046998299</v>
      </c>
      <c r="J3" s="44">
        <f>IFERROR((TR/(RadSpec!N3*EF_iw*(1/365)*ED_ind*RadSpec!S3*ET_iw_i*(1/24)*RadSpec!AC3))*1,".")</f>
        <v>16.989060006052533</v>
      </c>
      <c r="K3" s="44">
        <f>IFERROR((TR/(RadSpec!O3*EF_iw*(1/365)*ED_ind*RadSpec!T3*ET_iw_i*(1/24)*RadSpec!AD3))*1,".")</f>
        <v>15.827782486651477</v>
      </c>
      <c r="L3" s="44">
        <f>IFERROR((TR/(RadSpec!K3*EF_iw*(1/365)*ED_ind*RadSpec!P3*ET_iw_i*(1/24)*RadSpec!Z3))*1,".")</f>
        <v>23.444902808352499</v>
      </c>
      <c r="M3" s="22">
        <f>IFERROR(TR/(RadSpec!G3*EF_iw*ED_ind*ET_iw_i*(1/24)*IRA_iw),".")</f>
        <v>2.1197668256491784E-4</v>
      </c>
      <c r="N3" s="22">
        <f>IFERROR(TR/(RadSpec!J3*EF_iw*(1/365)*ED_ind*ET_iw_i*(1/24)*GSF_a),".")</f>
        <v>3019.0619310554525</v>
      </c>
      <c r="O3" s="22">
        <f t="shared" ref="O3" si="2">IFERROR(IF(AND(ISNUMBER(M3),ISNUMBER(N3)),1/((1/M3)+(1/N3)),IF(AND(ISNUMBER(M3),NOT(ISNUMBER(N3))),1/((1/M3)),IF(AND(NOT(ISNUMBER(M3)),ISNUMBER(N3)),1/((1/N3)),IF(AND(NOT(ISNUMBER(M3)),NOT(ISNUMBER(N3))),".")))),".")</f>
        <v>2.1197666768145014E-4</v>
      </c>
    </row>
    <row r="4" spans="1:15" ht="15" customHeight="1" x14ac:dyDescent="0.25">
      <c r="A4" s="23" t="s">
        <v>14</v>
      </c>
      <c r="B4" s="24" t="s">
        <v>289</v>
      </c>
      <c r="C4" s="2"/>
      <c r="D4" s="22" t="str">
        <f>IFERROR((TR/(RadSpec!I4*EF_iw*ED_ind*IRS_iw*(1/1000)))*1,".")</f>
        <v>.</v>
      </c>
      <c r="E4" s="22" t="str">
        <f>IFERROR(IF(A4="H-3",(TR/(RadSpec!G4*EF_iw*ED_ind*ET_iw_i*(1/24)*IRA_iw*(1/17)*1000))*1,(TR/(RadSpec!G4*EF_iw*ED_ind*ET_iw_i*(1/24)*IRA_iw*(1/PEF_wind)*1000))*1),".")</f>
        <v>.</v>
      </c>
      <c r="F4" s="22">
        <f>IFERROR((TR/(RadSpec!F4*EF_iw*(1/365)*ED_ind*RadSpec!Q4*ET_iw_i*(1/24)*RadSpec!AA4))*1,".")</f>
        <v>467.7287343312218</v>
      </c>
      <c r="G4" s="22">
        <f t="shared" ref="G4:G5" si="3">(IF(AND(ISNUMBER(D4),ISNUMBER(E4),ISNUMBER(F4)),1/((1/D4)+(1/E4)+(1/F4)),IF(AND(ISNUMBER(D4),ISNUMBER(E4),NOT(ISNUMBER(F4))), 1/((1/D4)+(1/E4)),IF(AND(ISNUMBER(D4),NOT(ISNUMBER(E4)),ISNUMBER(F4)),1/((1/D4)+(1/F4)),IF(AND(NOT(ISNUMBER(D4)),ISNUMBER(E4),ISNUMBER(F4)),1/((1/E4)+(1/F4)),IF(AND(ISNUMBER(D4),NOT(ISNUMBER(E4)),NOT(ISNUMBER(F4))),1/((1/D4)),IF(AND(NOT(ISNUMBER(D4)),NOT(ISNUMBER(E4)),ISNUMBER(F4)),1/((1/F4)),IF(AND(NOT(ISNUMBER(D4)),ISNUMBER(E4),NOT(ISNUMBER(F4))),1/((1/E4)),IF(AND(NOT(ISNUMBER(D4)),NOT(ISNUMBER(E4)),NOT(ISNUMBER(F4))),".")))))))))</f>
        <v>467.7287343312218</v>
      </c>
      <c r="H4" s="44">
        <f>IFERROR((TR/(RadSpec!F4*EF_iw*(1/365)*ED_ind*RadSpec!Q4*ET_iw_i*(1/24)*RadSpec!AA4))*1,".")</f>
        <v>467.7287343312218</v>
      </c>
      <c r="I4" s="44">
        <f>IFERROR((TR/(RadSpec!M4*EF_iw*(1/365)*ED_ind*RadSpec!R4*ET_iw_i*(1/24)*RadSpec!AB4))*1,".")</f>
        <v>2021.1123110648705</v>
      </c>
      <c r="J4" s="44">
        <f>IFERROR((TR/(RadSpec!N4*EF_iw*(1/365)*ED_ind*RadSpec!S4*ET_iw_i*(1/24)*RadSpec!AC4))*1,".")</f>
        <v>732.65321276101554</v>
      </c>
      <c r="K4" s="44">
        <f>IFERROR((TR/(RadSpec!O4*EF_iw*(1/365)*ED_ind*RadSpec!T4*ET_iw_i*(1/24)*RadSpec!AD4))*1,".")</f>
        <v>498.82771932664889</v>
      </c>
      <c r="L4" s="44">
        <f>IFERROR((TR/(RadSpec!K4*EF_iw*(1/365)*ED_ind*RadSpec!P4*ET_iw_i*(1/24)*RadSpec!Z4))*1,".")</f>
        <v>2061.0903567782416</v>
      </c>
      <c r="M4" s="22" t="str">
        <f>IFERROR(TR/(RadSpec!G4*EF_iw*ED_ind*ET_iw_i*(1/24)*IRA_iw),".")</f>
        <v>.</v>
      </c>
      <c r="N4" s="22">
        <f>IFERROR(TR/(RadSpec!J4*EF_iw*(1/365)*ED_ind*ET_iw_i*(1/24)*GSF_a),".")</f>
        <v>179482.50953762681</v>
      </c>
      <c r="O4" s="22">
        <f t="shared" ref="O4:O5" si="4">IFERROR(IF(AND(ISNUMBER(M4),ISNUMBER(N4)),1/((1/M4)+(1/N4)),IF(AND(ISNUMBER(M4),NOT(ISNUMBER(N4))),1/((1/M4)),IF(AND(NOT(ISNUMBER(M4)),ISNUMBER(N4)),1/((1/N4)),IF(AND(NOT(ISNUMBER(M4)),NOT(ISNUMBER(N4))),".")))),".")</f>
        <v>179482.50953762681</v>
      </c>
    </row>
    <row r="5" spans="1:15" ht="15" customHeight="1" x14ac:dyDescent="0.25">
      <c r="A5" s="23" t="s">
        <v>15</v>
      </c>
      <c r="B5" s="24" t="s">
        <v>289</v>
      </c>
      <c r="C5" s="109"/>
      <c r="D5" s="22" t="str">
        <f>IFERROR((TR/(RadSpec!I5*EF_iw*ED_ind*IRS_iw*(1/1000)))*1,".")</f>
        <v>.</v>
      </c>
      <c r="E5" s="22" t="str">
        <f>IFERROR(IF(A5="H-3",(TR/(RadSpec!G5*EF_iw*ED_ind*ET_iw_i*(1/24)*IRA_iw*(1/17)*1000))*1,(TR/(RadSpec!G5*EF_iw*ED_ind*ET_iw_i*(1/24)*IRA_iw*(1/PEF_wind)*1000))*1),".")</f>
        <v>.</v>
      </c>
      <c r="F5" s="22">
        <f>IFERROR((TR/(RadSpec!F5*EF_iw*(1/365)*ED_ind*RadSpec!Q5*ET_iw_i*(1/24)*RadSpec!AA5))*1,".")</f>
        <v>17736.096687169735</v>
      </c>
      <c r="G5" s="22">
        <f t="shared" si="3"/>
        <v>17736.096687169735</v>
      </c>
      <c r="H5" s="44">
        <f>IFERROR((TR/(RadSpec!F5*EF_iw*(1/365)*ED_ind*RadSpec!Q5*ET_iw_i*(1/24)*RadSpec!AA5))*1,".")</f>
        <v>17736.096687169735</v>
      </c>
      <c r="I5" s="44">
        <f>IFERROR((TR/(RadSpec!M5*EF_iw*(1/365)*ED_ind*RadSpec!R5*ET_iw_i*(1/24)*RadSpec!AB5))*1,".")</f>
        <v>58017.576858085864</v>
      </c>
      <c r="J5" s="44">
        <f>IFERROR((TR/(RadSpec!N5*EF_iw*(1/365)*ED_ind*RadSpec!S5*ET_iw_i*(1/24)*RadSpec!AC5))*1,".")</f>
        <v>26396.344024603477</v>
      </c>
      <c r="K5" s="44">
        <f>IFERROR((TR/(RadSpec!O5*EF_iw*(1/365)*ED_ind*RadSpec!T5*ET_iw_i*(1/24)*RadSpec!AD5))*1,".")</f>
        <v>19031.884572990355</v>
      </c>
      <c r="L5" s="44">
        <f>IFERROR((TR/(RadSpec!K5*EF_iw*(1/365)*ED_ind*RadSpec!P5*ET_iw_i*(1/24)*RadSpec!Z5))*1,".")</f>
        <v>24374.167961899933</v>
      </c>
      <c r="M5" s="22" t="str">
        <f>IFERROR(TR/(RadSpec!G5*EF_iw*ED_ind*ET_iw_i*(1/24)*IRA_iw),".")</f>
        <v>.</v>
      </c>
      <c r="N5" s="22">
        <f>IFERROR(TR/(RadSpec!J5*EF_iw*(1/365)*ED_ind*ET_iw_i*(1/24)*GSF_a),".")</f>
        <v>5683612.8020248478</v>
      </c>
      <c r="O5" s="22">
        <f t="shared" si="4"/>
        <v>5683612.8020248478</v>
      </c>
    </row>
    <row r="6" spans="1:15" ht="15" customHeight="1" x14ac:dyDescent="0.25">
      <c r="A6" s="23" t="s">
        <v>16</v>
      </c>
      <c r="B6" s="24" t="s">
        <v>289</v>
      </c>
      <c r="C6" s="2"/>
      <c r="D6" s="22" t="str">
        <f>IFERROR((TR/(RadSpec!I6*EF_iw*ED_ind*IRS_iw*(1/1000)))*1,".")</f>
        <v>.</v>
      </c>
      <c r="E6" s="22" t="str">
        <f>IFERROR(IF(A6="H-3",(TR/(RadSpec!G6*EF_iw*ED_ind*ET_iw_i*(1/24)*IRA_iw*(1/17)*1000))*1,(TR/(RadSpec!G6*EF_iw*ED_ind*ET_iw_i*(1/24)*IRA_iw*(1/PEF_wind)*1000))*1),".")</f>
        <v>.</v>
      </c>
      <c r="F6" s="22">
        <f>IFERROR((TR/(RadSpec!F6*EF_iw*(1/365)*ED_ind*RadSpec!Q6*ET_iw_i*(1/24)*RadSpec!AA6))*1,".")</f>
        <v>0.16309497605810436</v>
      </c>
      <c r="G6" s="22">
        <f t="shared" ref="G6:G9" si="5">(IF(AND(ISNUMBER(D6),ISNUMBER(E6),ISNUMBER(F6)),1/((1/D6)+(1/E6)+(1/F6)),IF(AND(ISNUMBER(D6),ISNUMBER(E6),NOT(ISNUMBER(F6))), 1/((1/D6)+(1/E6)),IF(AND(ISNUMBER(D6),NOT(ISNUMBER(E6)),ISNUMBER(F6)),1/((1/D6)+(1/F6)),IF(AND(NOT(ISNUMBER(D6)),ISNUMBER(E6),ISNUMBER(F6)),1/((1/E6)+(1/F6)),IF(AND(ISNUMBER(D6),NOT(ISNUMBER(E6)),NOT(ISNUMBER(F6))),1/((1/D6)),IF(AND(NOT(ISNUMBER(D6)),NOT(ISNUMBER(E6)),ISNUMBER(F6)),1/((1/F6)),IF(AND(NOT(ISNUMBER(D6)),ISNUMBER(E6),NOT(ISNUMBER(F6))),1/((1/E6)),IF(AND(NOT(ISNUMBER(D6)),NOT(ISNUMBER(E6)),NOT(ISNUMBER(F6))),".")))))))))</f>
        <v>0.16309497605810436</v>
      </c>
      <c r="H6" s="44">
        <f>IFERROR((TR/(RadSpec!F6*EF_iw*(1/365)*ED_ind*RadSpec!Q6*ET_iw_i*(1/24)*RadSpec!AA6))*1,".")</f>
        <v>0.16309497605810436</v>
      </c>
      <c r="I6" s="44">
        <f>IFERROR((TR/(RadSpec!M6*EF_iw*(1/365)*ED_ind*RadSpec!R6*ET_iw_i*(1/24)*RadSpec!AB6))*1,".")</f>
        <v>0.80016733134308871</v>
      </c>
      <c r="J6" s="44">
        <f>IFERROR((TR/(RadSpec!N6*EF_iw*(1/365)*ED_ind*RadSpec!S6*ET_iw_i*(1/24)*RadSpec!AC6))*1,".")</f>
        <v>0.28375071477582448</v>
      </c>
      <c r="K6" s="44">
        <f>IFERROR((TR/(RadSpec!O6*EF_iw*(1/365)*ED_ind*RadSpec!T6*ET_iw_i*(1/24)*RadSpec!AD6))*1,".")</f>
        <v>0.18298460728470242</v>
      </c>
      <c r="L6" s="44">
        <f>IFERROR((TR/(RadSpec!K6*EF_iw*(1/365)*ED_ind*RadSpec!P6*ET_iw_i*(1/24)*RadSpec!Z6))*1,".")</f>
        <v>0.81725151401664486</v>
      </c>
      <c r="M6" s="22" t="str">
        <f>IFERROR(TR/(RadSpec!G6*EF_iw*ED_ind*ET_iw_i*(1/24)*IRA_iw),".")</f>
        <v>.</v>
      </c>
      <c r="N6" s="22">
        <f>IFERROR(TR/(RadSpec!J6*EF_iw*(1/365)*ED_ind*ET_iw_i*(1/24)*GSF_a),".")</f>
        <v>69.466378691414818</v>
      </c>
      <c r="O6" s="22">
        <f t="shared" ref="O6:O9" si="6">IFERROR(IF(AND(ISNUMBER(M6),ISNUMBER(N6)),1/((1/M6)+(1/N6)),IF(AND(ISNUMBER(M6),NOT(ISNUMBER(N6))),1/((1/M6)),IF(AND(NOT(ISNUMBER(M6)),ISNUMBER(N6)),1/((1/N6)),IF(AND(NOT(ISNUMBER(M6)),NOT(ISNUMBER(N6))),".")))),".")</f>
        <v>69.466378691414818</v>
      </c>
    </row>
    <row r="7" spans="1:15" ht="15" customHeight="1" x14ac:dyDescent="0.25">
      <c r="A7" s="23" t="s">
        <v>17</v>
      </c>
      <c r="B7" s="24" t="s">
        <v>289</v>
      </c>
      <c r="C7" s="109"/>
      <c r="D7" s="22">
        <f>IFERROR((TR/(RadSpec!I7*EF_iw*ED_ind*IRS_iw*(1/1000)))*1,".")</f>
        <v>856.30184640085633</v>
      </c>
      <c r="E7" s="22">
        <f>IFERROR(IF(A7="H-3",(TR/(RadSpec!G7*EF_iw*ED_ind*ET_iw_i*(1/24)*IRA_iw*(1/17)*1000))*1,(TR/(RadSpec!G7*EF_iw*ED_ind*ET_iw_i*(1/24)*IRA_iw*(1/PEF_wind)*1000))*1),".")</f>
        <v>23895.31045627658</v>
      </c>
      <c r="F7" s="22">
        <f>IFERROR((TR/(RadSpec!F7*EF_iw*(1/365)*ED_ind*RadSpec!Q7*ET_iw_i*(1/24)*RadSpec!AA7))*1,".")</f>
        <v>158.27782486651475</v>
      </c>
      <c r="G7" s="22">
        <f t="shared" si="5"/>
        <v>132.84329824716289</v>
      </c>
      <c r="H7" s="44">
        <f>IFERROR((TR/(RadSpec!F7*EF_iw*(1/365)*ED_ind*RadSpec!Q7*ET_iw_i*(1/24)*RadSpec!AA7))*1,".")</f>
        <v>158.27782486651475</v>
      </c>
      <c r="I7" s="44">
        <f>IFERROR((TR/(RadSpec!M7*EF_iw*(1/365)*ED_ind*RadSpec!R7*ET_iw_i*(1/24)*RadSpec!AB7))*1,".")</f>
        <v>458.80436024173196</v>
      </c>
      <c r="J7" s="44">
        <f>IFERROR((TR/(RadSpec!N7*EF_iw*(1/365)*ED_ind*RadSpec!S7*ET_iw_i*(1/24)*RadSpec!AC7))*1,".")</f>
        <v>213.13548007593181</v>
      </c>
      <c r="K7" s="44">
        <f>IFERROR((TR/(RadSpec!O7*EF_iw*(1/365)*ED_ind*RadSpec!T7*ET_iw_i*(1/24)*RadSpec!AD7))*1,".")</f>
        <v>163.09497605810438</v>
      </c>
      <c r="L7" s="44">
        <f>IFERROR((TR/(RadSpec!K7*EF_iw*(1/365)*ED_ind*RadSpec!P7*ET_iw_i*(1/24)*RadSpec!Z7))*1,".")</f>
        <v>90.827710637685215</v>
      </c>
      <c r="M7" s="22">
        <f>IFERROR(TR/(RadSpec!G7*EF_iw*ED_ind*ET_iw_i*(1/24)*IRA_iw),".")</f>
        <v>1.757855416392002E-2</v>
      </c>
      <c r="N7" s="22">
        <f>IFERROR(TR/(RadSpec!J7*EF_iw*(1/365)*ED_ind*ET_iw_i*(1/24)*GSF_a),".")</f>
        <v>33123.04149524415</v>
      </c>
      <c r="O7" s="22">
        <f t="shared" si="6"/>
        <v>1.7578544834903464E-2</v>
      </c>
    </row>
    <row r="8" spans="1:15" ht="15" customHeight="1" x14ac:dyDescent="0.25">
      <c r="A8" s="23" t="s">
        <v>18</v>
      </c>
      <c r="B8" s="24" t="s">
        <v>289</v>
      </c>
      <c r="C8" s="2"/>
      <c r="D8" s="22">
        <f>IFERROR((TR/(RadSpec!I8*EF_iw*ED_ind*IRS_iw*(1/1000)))*1,".")</f>
        <v>10091.772052098771</v>
      </c>
      <c r="E8" s="22">
        <f>IFERROR(IF(A8="H-3",(TR/(RadSpec!G8*EF_iw*ED_ind*ET_iw_i*(1/24)*IRA_iw*(1/17)*1000))*1,(TR/(RadSpec!G8*EF_iw*ED_ind*ET_iw_i*(1/24)*IRA_iw*(1/PEF_wind)*1000))*1),".")</f>
        <v>146956.15930610095</v>
      </c>
      <c r="F8" s="22">
        <f>IFERROR((TR/(RadSpec!F8*EF_iw*(1/365)*ED_ind*RadSpec!Q8*ET_iw_i*(1/24)*RadSpec!AA8))*1,".")</f>
        <v>0.80670633319062346</v>
      </c>
      <c r="G8" s="22">
        <f t="shared" si="5"/>
        <v>0.80663742500277136</v>
      </c>
      <c r="H8" s="44">
        <f>IFERROR((TR/(RadSpec!F8*EF_iw*(1/365)*ED_ind*RadSpec!Q8*ET_iw_i*(1/24)*RadSpec!AA8))*1,".")</f>
        <v>0.80670633319062346</v>
      </c>
      <c r="I8" s="44">
        <f>IFERROR((TR/(RadSpec!M8*EF_iw*(1/365)*ED_ind*RadSpec!R8*ET_iw_i*(1/24)*RadSpec!AB8))*1,".")</f>
        <v>3.7214131441829359</v>
      </c>
      <c r="J8" s="44">
        <f>IFERROR((TR/(RadSpec!N8*EF_iw*(1/365)*ED_ind*RadSpec!S8*ET_iw_i*(1/24)*RadSpec!AC8))*1,".")</f>
        <v>1.3320967504745738</v>
      </c>
      <c r="K8" s="44">
        <f>IFERROR((TR/(RadSpec!O8*EF_iw*(1/365)*ED_ind*RadSpec!T8*ET_iw_i*(1/24)*RadSpec!AD8))*1,".")</f>
        <v>0.88055972989117337</v>
      </c>
      <c r="L8" s="44">
        <f>IFERROR((TR/(RadSpec!K8*EF_iw*(1/365)*ED_ind*RadSpec!P8*ET_iw_i*(1/24)*RadSpec!Z8))*1,".")</f>
        <v>3.6419266498411647</v>
      </c>
      <c r="M8" s="22">
        <f>IFERROR(TR/(RadSpec!G8*EF_iw*ED_ind*ET_iw_i*(1/24)*IRA_iw),".")</f>
        <v>0.10810810810810811</v>
      </c>
      <c r="N8" s="22">
        <f>IFERROR(TR/(RadSpec!J8*EF_iw*(1/365)*ED_ind*ET_iw_i*(1/24)*GSF_a),".")</f>
        <v>329.05126748564919</v>
      </c>
      <c r="O8" s="22">
        <f t="shared" si="6"/>
        <v>0.10807260140860234</v>
      </c>
    </row>
    <row r="9" spans="1:15" ht="15" customHeight="1" x14ac:dyDescent="0.25">
      <c r="A9" s="23" t="s">
        <v>19</v>
      </c>
      <c r="B9" s="24" t="s">
        <v>289</v>
      </c>
      <c r="C9" s="109"/>
      <c r="D9" s="22">
        <f>IFERROR((TR/(RadSpec!I9*EF_iw*ED_ind*IRS_iw*(1/1000)))*1,".")</f>
        <v>21730.272986554395</v>
      </c>
      <c r="E9" s="22">
        <f>IFERROR(IF(A9="H-3",(TR/(RadSpec!G9*EF_iw*ED_ind*ET_iw_i*(1/24)*IRA_iw*(1/17)*1000))*1,(TR/(RadSpec!G9*EF_iw*ED_ind*ET_iw_i*(1/24)*IRA_iw*(1/PEF_wind)*1000))*1),".")</f>
        <v>175966.92214646391</v>
      </c>
      <c r="F9" s="22">
        <f>IFERROR((TR/(RadSpec!F9*EF_iw*(1/365)*ED_ind*RadSpec!Q9*ET_iw_i*(1/24)*RadSpec!AA9))*1,".")</f>
        <v>5.9637272644457853E-2</v>
      </c>
      <c r="G9" s="22">
        <f t="shared" si="5"/>
        <v>5.9637088762763656E-2</v>
      </c>
      <c r="H9" s="44">
        <f>IFERROR((TR/(RadSpec!F9*EF_iw*(1/365)*ED_ind*RadSpec!Q9*ET_iw_i*(1/24)*RadSpec!AA9))*1,".")</f>
        <v>5.9637272644457853E-2</v>
      </c>
      <c r="I9" s="44">
        <f>IFERROR((TR/(RadSpec!M9*EF_iw*(1/365)*ED_ind*RadSpec!R9*ET_iw_i*(1/24)*RadSpec!AB9))*1,".")</f>
        <v>0.3302098987091901</v>
      </c>
      <c r="J9" s="44">
        <f>IFERROR((TR/(RadSpec!N9*EF_iw*(1/365)*ED_ind*RadSpec!S9*ET_iw_i*(1/24)*RadSpec!AC9))*1,".")</f>
        <v>0.11492599415859069</v>
      </c>
      <c r="K9" s="44">
        <f>IFERROR((TR/(RadSpec!O9*EF_iw*(1/365)*ED_ind*RadSpec!T9*ET_iw_i*(1/24)*RadSpec!AD9))*1,".")</f>
        <v>7.1315293713619776E-2</v>
      </c>
      <c r="L9" s="44">
        <f>IFERROR((TR/(RadSpec!K9*EF_iw*(1/365)*ED_ind*RadSpec!P9*ET_iw_i*(1/24)*RadSpec!Z9))*1,".")</f>
        <v>0.34101676812149084</v>
      </c>
      <c r="M9" s="22">
        <f>IFERROR(TR/(RadSpec!G9*EF_iw*ED_ind*ET_iw_i*(1/24)*IRA_iw),".")</f>
        <v>0.12944983818770225</v>
      </c>
      <c r="N9" s="22">
        <f>IFERROR(TR/(RadSpec!J9*EF_iw*(1/365)*ED_ind*ET_iw_i*(1/24)*GSF_a),".")</f>
        <v>26.186278878439094</v>
      </c>
      <c r="O9" s="22">
        <f t="shared" si="6"/>
        <v>0.12881306081447169</v>
      </c>
    </row>
    <row r="10" spans="1:15" ht="15" customHeight="1" x14ac:dyDescent="0.25">
      <c r="A10" s="25" t="s">
        <v>20</v>
      </c>
      <c r="B10" s="24" t="s">
        <v>275</v>
      </c>
      <c r="C10" s="2"/>
      <c r="D10" s="22">
        <f>IFERROR((TR/(RadSpec!I10*EF_iw*ED_ind*IRS_iw*(1/1000)))*1,".")</f>
        <v>100.6827549318818</v>
      </c>
      <c r="E10" s="22">
        <f>IFERROR(IF(A10="H-3",(TR/(RadSpec!G10*EF_iw*ED_ind*ET_iw_i*(1/24)*IRA_iw*(1/17)*1000))*1,(TR/(RadSpec!G10*EF_iw*ED_ind*ET_iw_i*(1/24)*IRA_iw*(1/PEF_wind)*1000))*1),".")</f>
        <v>96681.683754013779</v>
      </c>
      <c r="F10" s="22">
        <f>IFERROR((TR/(RadSpec!F10*EF_iw*(1/365)*ED_ind*RadSpec!Q10*ET_iw_i*(1/24)*RadSpec!AA10))*1,".")</f>
        <v>793.06225144532766</v>
      </c>
      <c r="G10" s="22">
        <f t="shared" ref="G10" si="7">(IF(AND(ISNUMBER(D10),ISNUMBER(E10),ISNUMBER(F10)),1/((1/D10)+(1/E10)+(1/F10)),IF(AND(ISNUMBER(D10),ISNUMBER(E10),NOT(ISNUMBER(F10))), 1/((1/D10)+(1/E10)),IF(AND(ISNUMBER(D10),NOT(ISNUMBER(E10)),ISNUMBER(F10)),1/((1/D10)+(1/F10)),IF(AND(NOT(ISNUMBER(D10)),ISNUMBER(E10),ISNUMBER(F10)),1/((1/E10)+(1/F10)),IF(AND(ISNUMBER(D10),NOT(ISNUMBER(E10)),NOT(ISNUMBER(F10))),1/((1/D10)),IF(AND(NOT(ISNUMBER(D10)),NOT(ISNUMBER(E10)),ISNUMBER(F10)),1/((1/F10)),IF(AND(NOT(ISNUMBER(D10)),ISNUMBER(E10),NOT(ISNUMBER(F10))),1/((1/E10)),IF(AND(NOT(ISNUMBER(D10)),NOT(ISNUMBER(E10)),NOT(ISNUMBER(F10))),".")))))))))</f>
        <v>89.258093816554407</v>
      </c>
      <c r="H10" s="44">
        <f>IFERROR((TR/(RadSpec!F10*EF_iw*(1/365)*ED_ind*RadSpec!Q10*ET_iw_i*(1/24)*RadSpec!AA10))*1,".")</f>
        <v>793.06225144532766</v>
      </c>
      <c r="I10" s="44">
        <f>IFERROR((TR/(RadSpec!M10*EF_iw*(1/365)*ED_ind*RadSpec!R10*ET_iw_i*(1/24)*RadSpec!AB10))*1,".")</f>
        <v>2276.2041561507281</v>
      </c>
      <c r="J10" s="44">
        <f>IFERROR((TR/(RadSpec!N10*EF_iw*(1/365)*ED_ind*RadSpec!S10*ET_iw_i*(1/24)*RadSpec!AC10))*1,".")</f>
        <v>1032.8151016895376</v>
      </c>
      <c r="K10" s="44">
        <f>IFERROR((TR/(RadSpec!O10*EF_iw*(1/365)*ED_ind*RadSpec!T10*ET_iw_i*(1/24)*RadSpec!AD10))*1,".")</f>
        <v>808.44492442594833</v>
      </c>
      <c r="L10" s="44">
        <f>IFERROR((TR/(RadSpec!K10*EF_iw*(1/365)*ED_ind*RadSpec!P10*ET_iw_i*(1/24)*RadSpec!Z10))*1,".")</f>
        <v>791.38912433257394</v>
      </c>
      <c r="M10" s="22">
        <f>IFERROR(TR/(RadSpec!G10*EF_iw*ED_ind*ET_iw_i*(1/24)*IRA_iw),".")</f>
        <v>7.1123755334281655E-2</v>
      </c>
      <c r="N10" s="22">
        <f>IFERROR(TR/(RadSpec!J10*EF_iw*(1/365)*ED_ind*ET_iw_i*(1/24)*GSF_a),".")</f>
        <v>107947.75393773813</v>
      </c>
      <c r="O10" s="22">
        <f t="shared" ref="O10" si="8">IFERROR(IF(AND(ISNUMBER(M10),ISNUMBER(N10)),1/((1/M10)+(1/N10)),IF(AND(ISNUMBER(M10),NOT(ISNUMBER(N10))),1/((1/M10)),IF(AND(NOT(ISNUMBER(M10)),ISNUMBER(N10)),1/((1/N10)),IF(AND(NOT(ISNUMBER(M10)),NOT(ISNUMBER(N10))),".")))),".")</f>
        <v>7.1123708472859759E-2</v>
      </c>
    </row>
    <row r="11" spans="1:15" ht="15" customHeight="1" x14ac:dyDescent="0.25">
      <c r="A11" s="23" t="s">
        <v>21</v>
      </c>
      <c r="B11" s="24" t="s">
        <v>289</v>
      </c>
      <c r="C11" s="2"/>
      <c r="D11" s="22" t="str">
        <f>IFERROR((TR/(RadSpec!I11*EF_iw*ED_ind*IRS_iw*(1/1000)))*1,".")</f>
        <v>.</v>
      </c>
      <c r="E11" s="22" t="str">
        <f>IFERROR(IF(A11="H-3",(TR/(RadSpec!G11*EF_iw*ED_ind*ET_iw_i*(1/24)*IRA_iw*(1/17)*1000))*1,(TR/(RadSpec!G11*EF_iw*ED_ind*ET_iw_i*(1/24)*IRA_iw*(1/PEF_wind)*1000))*1),".")</f>
        <v>.</v>
      </c>
      <c r="F11" s="22">
        <f>IFERROR((TR/(RadSpec!F11*EF_iw*(1/365)*ED_ind*RadSpec!Q11*ET_iw_i*(1/24)*RadSpec!AA11))*1,".")</f>
        <v>4.1772655337821822</v>
      </c>
      <c r="G11" s="22">
        <f t="shared" ref="G11" si="9">(IF(AND(ISNUMBER(D11),ISNUMBER(E11),ISNUMBER(F11)),1/((1/D11)+(1/E11)+(1/F11)),IF(AND(ISNUMBER(D11),ISNUMBER(E11),NOT(ISNUMBER(F11))), 1/((1/D11)+(1/E11)),IF(AND(ISNUMBER(D11),NOT(ISNUMBER(E11)),ISNUMBER(F11)),1/((1/D11)+(1/F11)),IF(AND(NOT(ISNUMBER(D11)),ISNUMBER(E11),ISNUMBER(F11)),1/((1/E11)+(1/F11)),IF(AND(ISNUMBER(D11),NOT(ISNUMBER(E11)),NOT(ISNUMBER(F11))),1/((1/D11)),IF(AND(NOT(ISNUMBER(D11)),NOT(ISNUMBER(E11)),ISNUMBER(F11)),1/((1/F11)),IF(AND(NOT(ISNUMBER(D11)),ISNUMBER(E11),NOT(ISNUMBER(F11))),1/((1/E11)),IF(AND(NOT(ISNUMBER(D11)),NOT(ISNUMBER(E11)),NOT(ISNUMBER(F11))),".")))))))))</f>
        <v>4.1772655337821822</v>
      </c>
      <c r="H11" s="44">
        <f>IFERROR((TR/(RadSpec!F11*EF_iw*(1/365)*ED_ind*RadSpec!Q11*ET_iw_i*(1/24)*RadSpec!AA11))*1,".")</f>
        <v>4.1772655337821822</v>
      </c>
      <c r="I11" s="44">
        <f>IFERROR((TR/(RadSpec!M11*EF_iw*(1/365)*ED_ind*RadSpec!R11*ET_iw_i*(1/24)*RadSpec!AB11))*1,".")</f>
        <v>17.113067743322993</v>
      </c>
      <c r="J11" s="44">
        <f>IFERROR((TR/(RadSpec!N11*EF_iw*(1/365)*ED_ind*RadSpec!S11*ET_iw_i*(1/24)*RadSpec!AC11))*1,".")</f>
        <v>6.2023552403048932</v>
      </c>
      <c r="K11" s="44">
        <f>IFERROR((TR/(RadSpec!O11*EF_iw*(1/365)*ED_ind*RadSpec!T11*ET_iw_i*(1/24)*RadSpec!AD11))*1,".")</f>
        <v>4.3366294211981495</v>
      </c>
      <c r="L11" s="44">
        <f>IFERROR((TR/(RadSpec!K11*EF_iw*(1/365)*ED_ind*RadSpec!P11*ET_iw_i*(1/24)*RadSpec!Z11))*1,".")</f>
        <v>17.366594672853704</v>
      </c>
      <c r="M11" s="22" t="str">
        <f>IFERROR(TR/(RadSpec!G11*EF_iw*ED_ind*ET_iw_i*(1/24)*IRA_iw),".")</f>
        <v>.</v>
      </c>
      <c r="N11" s="22">
        <f>IFERROR(TR/(RadSpec!J11*EF_iw*(1/365)*ED_ind*ET_iw_i*(1/24)*GSF_a),".")</f>
        <v>1520.2368589002633</v>
      </c>
      <c r="O11" s="22">
        <f t="shared" ref="O11" si="10">IFERROR(IF(AND(ISNUMBER(M11),ISNUMBER(N11)),1/((1/M11)+(1/N11)),IF(AND(ISNUMBER(M11),NOT(ISNUMBER(N11))),1/((1/M11)),IF(AND(NOT(ISNUMBER(M11)),ISNUMBER(N11)),1/((1/N11)),IF(AND(NOT(ISNUMBER(M11)),NOT(ISNUMBER(N11))),".")))),".")</f>
        <v>1520.2368589002633</v>
      </c>
    </row>
    <row r="12" spans="1:15" ht="15" customHeight="1" x14ac:dyDescent="0.25">
      <c r="A12" s="23" t="s">
        <v>22</v>
      </c>
      <c r="B12" s="24" t="s">
        <v>289</v>
      </c>
      <c r="C12" s="109"/>
      <c r="D12" s="22" t="str">
        <f>IFERROR((TR/(RadSpec!I12*EF_iw*ED_ind*IRS_iw*(1/1000)))*1,".")</f>
        <v>.</v>
      </c>
      <c r="E12" s="22" t="str">
        <f>IFERROR(IF(A12="H-3",(TR/(RadSpec!G12*EF_iw*ED_ind*ET_iw_i*(1/24)*IRA_iw*(1/17)*1000))*1,(TR/(RadSpec!G12*EF_iw*ED_ind*ET_iw_i*(1/24)*IRA_iw*(1/PEF_wind)*1000))*1),".")</f>
        <v>.</v>
      </c>
      <c r="F12" s="22">
        <f>IFERROR((TR/(RadSpec!F12*EF_iw*(1/365)*ED_ind*RadSpec!Q12*ET_iw_i*(1/24)*RadSpec!AA12))*1,".")</f>
        <v>0.90608320032280187</v>
      </c>
      <c r="G12" s="22">
        <f t="shared" ref="G12" si="11">(IF(AND(ISNUMBER(D12),ISNUMBER(E12),ISNUMBER(F12)),1/((1/D12)+(1/E12)+(1/F12)),IF(AND(ISNUMBER(D12),ISNUMBER(E12),NOT(ISNUMBER(F12))), 1/((1/D12)+(1/E12)),IF(AND(ISNUMBER(D12),NOT(ISNUMBER(E12)),ISNUMBER(F12)),1/((1/D12)+(1/F12)),IF(AND(NOT(ISNUMBER(D12)),ISNUMBER(E12),ISNUMBER(F12)),1/((1/E12)+(1/F12)),IF(AND(ISNUMBER(D12),NOT(ISNUMBER(E12)),NOT(ISNUMBER(F12))),1/((1/D12)),IF(AND(NOT(ISNUMBER(D12)),NOT(ISNUMBER(E12)),ISNUMBER(F12)),1/((1/F12)),IF(AND(NOT(ISNUMBER(D12)),ISNUMBER(E12),NOT(ISNUMBER(F12))),1/((1/E12)),IF(AND(NOT(ISNUMBER(D12)),NOT(ISNUMBER(E12)),NOT(ISNUMBER(F12))),".")))))))))</f>
        <v>0.90608320032280187</v>
      </c>
      <c r="H12" s="44">
        <f>IFERROR((TR/(RadSpec!F12*EF_iw*(1/365)*ED_ind*RadSpec!Q12*ET_iw_i*(1/24)*RadSpec!AA12))*1,".")</f>
        <v>0.90608320032280187</v>
      </c>
      <c r="I12" s="44">
        <f>IFERROR((TR/(RadSpec!M12*EF_iw*(1/365)*ED_ind*RadSpec!R12*ET_iw_i*(1/24)*RadSpec!AB12))*1,".")</f>
        <v>3.9872283687674313</v>
      </c>
      <c r="J12" s="44">
        <f>IFERROR((TR/(RadSpec!N12*EF_iw*(1/365)*ED_ind*RadSpec!S12*ET_iw_i*(1/24)*RadSpec!AC12))*1,".")</f>
        <v>1.4295672444117375</v>
      </c>
      <c r="K12" s="44">
        <f>IFERROR((TR/(RadSpec!O12*EF_iw*(1/365)*ED_ind*RadSpec!T12*ET_iw_i*(1/24)*RadSpec!AD12))*1,".")</f>
        <v>0.96929830732206723</v>
      </c>
      <c r="L12" s="44">
        <f>IFERROR((TR/(RadSpec!K12*EF_iw*(1/365)*ED_ind*RadSpec!P12*ET_iw_i*(1/24)*RadSpec!Z12))*1,".")</f>
        <v>3.9197329669136884</v>
      </c>
      <c r="M12" s="22" t="str">
        <f>IFERROR(TR/(RadSpec!G12*EF_iw*ED_ind*ET_iw_i*(1/24)*IRA_iw),".")</f>
        <v>.</v>
      </c>
      <c r="N12" s="22">
        <f>IFERROR(TR/(RadSpec!J12*EF_iw*(1/365)*ED_ind*ET_iw_i*(1/24)*GSF_a),".")</f>
        <v>353.0526540551906</v>
      </c>
      <c r="O12" s="22">
        <f t="shared" ref="O12" si="12">IFERROR(IF(AND(ISNUMBER(M12),ISNUMBER(N12)),1/((1/M12)+(1/N12)),IF(AND(ISNUMBER(M12),NOT(ISNUMBER(N12))),1/((1/M12)),IF(AND(NOT(ISNUMBER(M12)),ISNUMBER(N12)),1/((1/N12)),IF(AND(NOT(ISNUMBER(M12)),NOT(ISNUMBER(N12))),".")))),".")</f>
        <v>353.0526540551906</v>
      </c>
    </row>
    <row r="13" spans="1:15" ht="15" customHeight="1" x14ac:dyDescent="0.25">
      <c r="A13" s="23" t="s">
        <v>23</v>
      </c>
      <c r="B13" s="24" t="s">
        <v>289</v>
      </c>
      <c r="C13" s="2"/>
      <c r="D13" s="22">
        <f>IFERROR((TR/(RadSpec!I13*EF_iw*ED_ind*IRS_iw*(1/1000)))*1,".")</f>
        <v>68.09959565865077</v>
      </c>
      <c r="E13" s="22">
        <f>IFERROR(IF(A13="H-3",(TR/(RadSpec!G13*EF_iw*ED_ind*ET_iw_i*(1/24)*IRA_iw*(1/17)*1000))*1,(TR/(RadSpec!G13*EF_iw*ED_ind*ET_iw_i*(1/24)*IRA_iw*(1/PEF_wind)*1000))*1),".")</f>
        <v>379.24170143509923</v>
      </c>
      <c r="F13" s="22">
        <f>IFERROR((TR/(RadSpec!F13*EF_iw*(1/365)*ED_ind*RadSpec!Q13*ET_iw_i*(1/24)*RadSpec!AA13))*1,".")</f>
        <v>8.4676849872153515</v>
      </c>
      <c r="G13" s="22">
        <f t="shared" ref="G13:G14" si="13">(IF(AND(ISNUMBER(D13),ISNUMBER(E13),ISNUMBER(F13)),1/((1/D13)+(1/E13)+(1/F13)),IF(AND(ISNUMBER(D13),ISNUMBER(E13),NOT(ISNUMBER(F13))), 1/((1/D13)+(1/E13)),IF(AND(ISNUMBER(D13),NOT(ISNUMBER(E13)),ISNUMBER(F13)),1/((1/D13)+(1/F13)),IF(AND(NOT(ISNUMBER(D13)),ISNUMBER(E13),ISNUMBER(F13)),1/((1/E13)+(1/F13)),IF(AND(ISNUMBER(D13),NOT(ISNUMBER(E13)),NOT(ISNUMBER(F13))),1/((1/D13)),IF(AND(NOT(ISNUMBER(D13)),NOT(ISNUMBER(E13)),ISNUMBER(F13)),1/((1/F13)),IF(AND(NOT(ISNUMBER(D13)),ISNUMBER(E13),NOT(ISNUMBER(F13))),1/((1/E13)),IF(AND(NOT(ISNUMBER(D13)),NOT(ISNUMBER(E13)),NOT(ISNUMBER(F13))),".")))))))))</f>
        <v>7.3845836749079146</v>
      </c>
      <c r="H13" s="44">
        <f>IFERROR((TR/(RadSpec!F13*EF_iw*(1/365)*ED_ind*RadSpec!Q13*ET_iw_i*(1/24)*RadSpec!AA13))*1,".")</f>
        <v>8.4676849872153515</v>
      </c>
      <c r="I13" s="44">
        <f>IFERROR((TR/(RadSpec!M13*EF_iw*(1/365)*ED_ind*RadSpec!R13*ET_iw_i*(1/24)*RadSpec!AB13))*1,".")</f>
        <v>25.243502350850605</v>
      </c>
      <c r="J13" s="44">
        <f>IFERROR((TR/(RadSpec!N13*EF_iw*(1/365)*ED_ind*RadSpec!S13*ET_iw_i*(1/24)*RadSpec!AC13))*1,".")</f>
        <v>10.608553306946835</v>
      </c>
      <c r="K13" s="44">
        <f>IFERROR((TR/(RadSpec!O13*EF_iw*(1/365)*ED_ind*RadSpec!T13*ET_iw_i*(1/24)*RadSpec!AD13))*1,".")</f>
        <v>8.506087186703855</v>
      </c>
      <c r="L13" s="44">
        <f>IFERROR((TR/(RadSpec!K13*EF_iw*(1/365)*ED_ind*RadSpec!P13*ET_iw_i*(1/24)*RadSpec!Z13))*1,".")</f>
        <v>20.839913607424439</v>
      </c>
      <c r="M13" s="22">
        <f>IFERROR(TR/(RadSpec!G13*EF_iw*ED_ind*ET_iw_i*(1/24)*IRA_iw),".")</f>
        <v>2.7898866608544026E-4</v>
      </c>
      <c r="N13" s="22">
        <f>IFERROR(TR/(RadSpec!J13*EF_iw*(1/365)*ED_ind*ET_iw_i*(1/24)*GSF_a),".")</f>
        <v>2283.8261487588434</v>
      </c>
      <c r="O13" s="22">
        <f t="shared" ref="O13:O14" si="14">IFERROR(IF(AND(ISNUMBER(M13),ISNUMBER(N13)),1/((1/M13)+(1/N13)),IF(AND(ISNUMBER(M13),NOT(ISNUMBER(N13))),1/((1/M13)),IF(AND(NOT(ISNUMBER(M13)),ISNUMBER(N13)),1/((1/N13)),IF(AND(NOT(ISNUMBER(M13)),NOT(ISNUMBER(N13))),".")))),".")</f>
        <v>2.7898863200462093E-4</v>
      </c>
    </row>
    <row r="14" spans="1:15" ht="15" customHeight="1" x14ac:dyDescent="0.25">
      <c r="A14" s="23" t="s">
        <v>24</v>
      </c>
      <c r="B14" s="24" t="s">
        <v>289</v>
      </c>
      <c r="C14" s="2"/>
      <c r="D14" s="22">
        <f>IFERROR((TR/(RadSpec!I14*EF_iw*ED_ind*IRS_iw*(1/1000)))*1,".")</f>
        <v>1239.0614109811818</v>
      </c>
      <c r="E14" s="22">
        <f>IFERROR(IF(A14="H-3",(TR/(RadSpec!G14*EF_iw*ED_ind*ET_iw_i*(1/24)*IRA_iw*(1/17)*1000))*1,(TR/(RadSpec!G14*EF_iw*ED_ind*ET_iw_i*(1/24)*IRA_iw*(1/PEF_wind)*1000))*1),".")</f>
        <v>711652.10317724443</v>
      </c>
      <c r="F14" s="22">
        <f>IFERROR((TR/(RadSpec!F14*EF_iw*(1/365)*ED_ind*RadSpec!Q14*ET_iw_i*(1/24)*RadSpec!AA14))*1,".")</f>
        <v>0.54523029786866284</v>
      </c>
      <c r="G14" s="22">
        <f t="shared" si="13"/>
        <v>0.54499006566211727</v>
      </c>
      <c r="H14" s="44">
        <f>IFERROR((TR/(RadSpec!F14*EF_iw*(1/365)*ED_ind*RadSpec!Q14*ET_iw_i*(1/24)*RadSpec!AA14))*1,".")</f>
        <v>0.54523029786866284</v>
      </c>
      <c r="I14" s="44">
        <f>IFERROR((TR/(RadSpec!M14*EF_iw*(1/365)*ED_ind*RadSpec!R14*ET_iw_i*(1/24)*RadSpec!AB14))*1,".")</f>
        <v>2.2985198831718137</v>
      </c>
      <c r="J14" s="44">
        <f>IFERROR((TR/(RadSpec!N14*EF_iw*(1/365)*ED_ind*RadSpec!S14*ET_iw_i*(1/24)*RadSpec!AC14))*1,".")</f>
        <v>0.83731795744116055</v>
      </c>
      <c r="K14" s="44">
        <f>IFERROR((TR/(RadSpec!O14*EF_iw*(1/365)*ED_ind*RadSpec!T14*ET_iw_i*(1/24)*RadSpec!AD14))*1,".")</f>
        <v>0.57621880942187398</v>
      </c>
      <c r="L14" s="44">
        <f>IFERROR((TR/(RadSpec!K14*EF_iw*(1/365)*ED_ind*RadSpec!P14*ET_iw_i*(1/24)*RadSpec!Z14))*1,".")</f>
        <v>2.3299282294014909</v>
      </c>
      <c r="M14" s="22">
        <f>IFERROR(TR/(RadSpec!G14*EF_iw*ED_ind*ET_iw_i*(1/24)*IRA_iw),".")</f>
        <v>0.52352594725476087</v>
      </c>
      <c r="N14" s="22">
        <f>IFERROR(TR/(RadSpec!J14*EF_iw*(1/365)*ED_ind*ET_iw_i*(1/24)*GSF_a),".")</f>
        <v>205.26317096232015</v>
      </c>
      <c r="O14" s="22">
        <f t="shared" si="14"/>
        <v>0.52219408556707636</v>
      </c>
    </row>
    <row r="15" spans="1:15" ht="15" customHeight="1" x14ac:dyDescent="0.25">
      <c r="A15" s="23" t="s">
        <v>25</v>
      </c>
      <c r="B15" s="24" t="s">
        <v>289</v>
      </c>
      <c r="C15" s="2"/>
      <c r="D15" s="22">
        <f>IFERROR((TR/(RadSpec!I15*EF_iw*ED_ind*IRS_iw*(1/1000)))*1,".")</f>
        <v>26208.026208026207</v>
      </c>
      <c r="E15" s="22">
        <f>IFERROR(IF(A15="H-3",(TR/(RadSpec!G15*EF_iw*ED_ind*ET_iw_i*(1/24)*IRA_iw*(1/17)*1000))*1,(TR/(RadSpec!G15*EF_iw*ED_ind*ET_iw_i*(1/24)*IRA_iw*(1/PEF_wind)*1000))*1),".")</f>
        <v>52297565.589359768</v>
      </c>
      <c r="F15" s="22">
        <f>IFERROR((TR/(RadSpec!F15*EF_iw*(1/365)*ED_ind*RadSpec!Q15*ET_iw_i*(1/24)*RadSpec!AA15))*1,".")</f>
        <v>906.08320032280176</v>
      </c>
      <c r="G15" s="22">
        <f t="shared" ref="G15:G17" si="15">(IF(AND(ISNUMBER(D15),ISNUMBER(E15),ISNUMBER(F15)),1/((1/D15)+(1/E15)+(1/F15)),IF(AND(ISNUMBER(D15),ISNUMBER(E15),NOT(ISNUMBER(F15))), 1/((1/D15)+(1/E15)),IF(AND(ISNUMBER(D15),NOT(ISNUMBER(E15)),ISNUMBER(F15)),1/((1/D15)+(1/F15)),IF(AND(NOT(ISNUMBER(D15)),ISNUMBER(E15),ISNUMBER(F15)),1/((1/E15)+(1/F15)),IF(AND(ISNUMBER(D15),NOT(ISNUMBER(E15)),NOT(ISNUMBER(F15))),1/((1/D15)),IF(AND(NOT(ISNUMBER(D15)),NOT(ISNUMBER(E15)),ISNUMBER(F15)),1/((1/F15)),IF(AND(NOT(ISNUMBER(D15)),ISNUMBER(E15),NOT(ISNUMBER(F15))),1/((1/E15)),IF(AND(NOT(ISNUMBER(D15)),NOT(ISNUMBER(E15)),NOT(ISNUMBER(F15))),".")))))))))</f>
        <v>875.78958375651621</v>
      </c>
      <c r="H15" s="44">
        <f>IFERROR((TR/(RadSpec!F15*EF_iw*(1/365)*ED_ind*RadSpec!Q15*ET_iw_i*(1/24)*RadSpec!AA15))*1,".")</f>
        <v>906.08320032280176</v>
      </c>
      <c r="I15" s="44">
        <f>IFERROR((TR/(RadSpec!M15*EF_iw*(1/365)*ED_ind*RadSpec!R15*ET_iw_i*(1/24)*RadSpec!AB15))*1,".")</f>
        <v>2641.3071745785096</v>
      </c>
      <c r="J15" s="44">
        <f>IFERROR((TR/(RadSpec!N15*EF_iw*(1/365)*ED_ind*RadSpec!S15*ET_iw_i*(1/24)*RadSpec!AC15))*1,".")</f>
        <v>1168.1565923444198</v>
      </c>
      <c r="K15" s="44">
        <f>IFERROR((TR/(RadSpec!O15*EF_iw*(1/365)*ED_ind*RadSpec!T15*ET_iw_i*(1/24)*RadSpec!AD15))*1,".")</f>
        <v>920.08448597900406</v>
      </c>
      <c r="L15" s="44">
        <f>IFERROR((TR/(RadSpec!K15*EF_iw*(1/365)*ED_ind*RadSpec!P15*ET_iw_i*(1/24)*RadSpec!Z15))*1,".")</f>
        <v>861.15345485224952</v>
      </c>
      <c r="M15" s="22">
        <f>IFERROR(TR/(RadSpec!G15*EF_iw*ED_ind*ET_iw_i*(1/24)*IRA_iw),".")</f>
        <v>38.472636337405021</v>
      </c>
      <c r="N15" s="22">
        <f>IFERROR(TR/(RadSpec!J15*EF_iw*(1/365)*ED_ind*ET_iw_i*(1/24)*GSF_a),".")</f>
        <v>102772.17669414794</v>
      </c>
      <c r="O15" s="22">
        <f t="shared" ref="O15:O17" si="16">IFERROR(IF(AND(ISNUMBER(M15),ISNUMBER(N15)),1/((1/M15)+(1/N15)),IF(AND(ISNUMBER(M15),NOT(ISNUMBER(N15))),1/((1/M15)),IF(AND(NOT(ISNUMBER(M15)),ISNUMBER(N15)),1/((1/N15)),IF(AND(NOT(ISNUMBER(M15)),NOT(ISNUMBER(N15))),".")))),".")</f>
        <v>38.458239543333697</v>
      </c>
    </row>
    <row r="16" spans="1:15" ht="15" customHeight="1" x14ac:dyDescent="0.25">
      <c r="A16" s="23" t="s">
        <v>26</v>
      </c>
      <c r="B16" s="24" t="s">
        <v>289</v>
      </c>
      <c r="C16" s="109"/>
      <c r="D16" s="22">
        <f>IFERROR((TR/(RadSpec!I16*EF_iw*ED_ind*IRS_iw*(1/1000)))*1,".")</f>
        <v>5.3386720053386716</v>
      </c>
      <c r="E16" s="22">
        <f>IFERROR(IF(A16="H-3",(TR/(RadSpec!G16*EF_iw*ED_ind*ET_iw_i*(1/24)*IRA_iw*(1/17)*1000))*1,(TR/(RadSpec!G16*EF_iw*ED_ind*ET_iw_i*(1/24)*IRA_iw*(1/PEF_wind)*1000))*1),".")</f>
        <v>685.11029979534248</v>
      </c>
      <c r="F16" s="22">
        <f>IFERROR((TR/(RadSpec!F16*EF_iw*(1/365)*ED_ind*RadSpec!Q16*ET_iw_i*(1/24)*RadSpec!AA16))*1,".")</f>
        <v>295.36885427845669</v>
      </c>
      <c r="G16" s="22">
        <f t="shared" si="15"/>
        <v>5.2040585163984083</v>
      </c>
      <c r="H16" s="44">
        <f>IFERROR((TR/(RadSpec!F16*EF_iw*(1/365)*ED_ind*RadSpec!Q16*ET_iw_i*(1/24)*RadSpec!AA16))*1,".")</f>
        <v>295.36885427845669</v>
      </c>
      <c r="I16" s="44">
        <f>IFERROR((TR/(RadSpec!M16*EF_iw*(1/365)*ED_ind*RadSpec!R16*ET_iw_i*(1/24)*RadSpec!AB16))*1,".")</f>
        <v>459.70397663436273</v>
      </c>
      <c r="J16" s="44">
        <f>IFERROR((TR/(RadSpec!N16*EF_iw*(1/365)*ED_ind*RadSpec!S16*ET_iw_i*(1/24)*RadSpec!AC16))*1,".")</f>
        <v>298.66118227200633</v>
      </c>
      <c r="K16" s="44">
        <f>IFERROR((TR/(RadSpec!O16*EF_iw*(1/365)*ED_ind*RadSpec!T16*ET_iw_i*(1/24)*RadSpec!AD16))*1,".")</f>
        <v>295.36885427845669</v>
      </c>
      <c r="L16" s="44">
        <f>IFERROR((TR/(RadSpec!K16*EF_iw*(1/365)*ED_ind*RadSpec!P16*ET_iw_i*(1/24)*RadSpec!Z16))*1,".")</f>
        <v>255.1826156011156</v>
      </c>
      <c r="M16" s="22">
        <f>IFERROR(TR/(RadSpec!G16*EF_iw*ED_ind*ET_iw_i*(1/24)*IRA_iw),".")</f>
        <v>5.0400050400050398E-4</v>
      </c>
      <c r="N16" s="22">
        <f>IFERROR(TR/(RadSpec!J16*EF_iw*(1/365)*ED_ind*ET_iw_i*(1/24)*GSF_a),".")</f>
        <v>44524.444502509206</v>
      </c>
      <c r="O16" s="22">
        <f t="shared" si="16"/>
        <v>5.0400049829540179E-4</v>
      </c>
    </row>
    <row r="17" spans="1:15" ht="15" customHeight="1" x14ac:dyDescent="0.25">
      <c r="A17" s="23" t="s">
        <v>27</v>
      </c>
      <c r="B17" s="24" t="s">
        <v>289</v>
      </c>
      <c r="C17" s="109"/>
      <c r="D17" s="22">
        <f>IFERROR((TR/(RadSpec!I17*EF_iw*ED_ind*IRS_iw*(1/1000)))*1,".")</f>
        <v>14511.155450752763</v>
      </c>
      <c r="E17" s="22">
        <f>IFERROR(IF(A17="H-3",(TR/(RadSpec!G17*EF_iw*ED_ind*ET_iw_i*(1/24)*IRA_iw*(1/17)*1000))*1,(TR/(RadSpec!G17*EF_iw*ED_ind*ET_iw_i*(1/24)*IRA_iw*(1/PEF_wind)*1000))*1),".")</f>
        <v>139958.24695819139</v>
      </c>
      <c r="F17" s="22">
        <f>IFERROR((TR/(RadSpec!F17*EF_iw*(1/365)*ED_ind*RadSpec!Q17*ET_iw_i*(1/24)*RadSpec!AA17))*1,".")</f>
        <v>0.44079723258947118</v>
      </c>
      <c r="G17" s="22">
        <f t="shared" si="15"/>
        <v>0.44078245494763385</v>
      </c>
      <c r="H17" s="44">
        <f>IFERROR((TR/(RadSpec!F17*EF_iw*(1/365)*ED_ind*RadSpec!Q17*ET_iw_i*(1/24)*RadSpec!AA17))*1,".")</f>
        <v>0.44079723258947118</v>
      </c>
      <c r="I17" s="44">
        <f>IFERROR((TR/(RadSpec!M17*EF_iw*(1/365)*ED_ind*RadSpec!R17*ET_iw_i*(1/24)*RadSpec!AB17))*1,".")</f>
        <v>1.9375952734175619</v>
      </c>
      <c r="J17" s="44">
        <f>IFERROR((TR/(RadSpec!N17*EF_iw*(1/365)*ED_ind*RadSpec!S17*ET_iw_i*(1/24)*RadSpec!AC17))*1,".")</f>
        <v>0.69569444535170621</v>
      </c>
      <c r="K17" s="44">
        <f>IFERROR((TR/(RadSpec!O17*EF_iw*(1/365)*ED_ind*RadSpec!T17*ET_iw_i*(1/24)*RadSpec!AD17))*1,".")</f>
        <v>0.47066304257671254</v>
      </c>
      <c r="L17" s="44">
        <f>IFERROR((TR/(RadSpec!K17*EF_iw*(1/365)*ED_ind*RadSpec!P17*ET_iw_i*(1/24)*RadSpec!Z17))*1,".")</f>
        <v>1.9639709158829317</v>
      </c>
      <c r="M17" s="22">
        <f>IFERROR(TR/(RadSpec!G17*EF_iw*ED_ind*ET_iw_i*(1/24)*IRA_iw),".")</f>
        <v>0.10296010296010297</v>
      </c>
      <c r="N17" s="22">
        <f>IFERROR(TR/(RadSpec!J17*EF_iw*(1/365)*ED_ind*ET_iw_i*(1/24)*GSF_a),".")</f>
        <v>171.87557614370675</v>
      </c>
      <c r="O17" s="22">
        <f t="shared" si="16"/>
        <v>0.10289846280992546</v>
      </c>
    </row>
    <row r="18" spans="1:15" ht="15" customHeight="1" x14ac:dyDescent="0.25">
      <c r="A18" s="23" t="s">
        <v>28</v>
      </c>
      <c r="B18" s="24" t="s">
        <v>289</v>
      </c>
      <c r="C18" s="109"/>
      <c r="D18" s="22">
        <f>IFERROR((TR/(RadSpec!I18*EF_iw*ED_ind*IRS_iw*(1/1000)))*1,".")</f>
        <v>2.229033156868208</v>
      </c>
      <c r="E18" s="22">
        <f>IFERROR(IF(A18="H-3",(TR/(RadSpec!G18*EF_iw*ED_ind*ET_iw_i*(1/24)*IRA_iw*(1/17)*1000))*1,(TR/(RadSpec!G18*EF_iw*ED_ind*ET_iw_i*(1/24)*IRA_iw*(1/PEF_wind)*1000))*1),".")</f>
        <v>749.77632299031086</v>
      </c>
      <c r="F18" s="22">
        <f>IFERROR((TR/(RadSpec!F18*EF_iw*(1/365)*ED_ind*RadSpec!Q18*ET_iw_i*(1/24)*RadSpec!AA18))*1,".")</f>
        <v>9718.0944283326426</v>
      </c>
      <c r="G18" s="22">
        <f t="shared" ref="G18:G21" si="17">(IF(AND(ISNUMBER(D18),ISNUMBER(E18),ISNUMBER(F18)),1/((1/D18)+(1/E18)+(1/F18)),IF(AND(ISNUMBER(D18),ISNUMBER(E18),NOT(ISNUMBER(F18))), 1/((1/D18)+(1/E18)),IF(AND(ISNUMBER(D18),NOT(ISNUMBER(E18)),ISNUMBER(F18)),1/((1/D18)+(1/F18)),IF(AND(NOT(ISNUMBER(D18)),ISNUMBER(E18),ISNUMBER(F18)),1/((1/E18)+(1/F18)),IF(AND(ISNUMBER(D18),NOT(ISNUMBER(E18)),NOT(ISNUMBER(F18))),1/((1/D18)),IF(AND(NOT(ISNUMBER(D18)),NOT(ISNUMBER(E18)),ISNUMBER(F18)),1/((1/F18)),IF(AND(NOT(ISNUMBER(D18)),ISNUMBER(E18),NOT(ISNUMBER(F18))),1/((1/E18)),IF(AND(NOT(ISNUMBER(D18)),NOT(ISNUMBER(E18)),NOT(ISNUMBER(F18))),".")))))))))</f>
        <v>2.2219179086823915</v>
      </c>
      <c r="H18" s="44">
        <f>IFERROR((TR/(RadSpec!F18*EF_iw*(1/365)*ED_ind*RadSpec!Q18*ET_iw_i*(1/24)*RadSpec!AA18))*1,".")</f>
        <v>9718.0944283326426</v>
      </c>
      <c r="I18" s="44">
        <f>IFERROR((TR/(RadSpec!M18*EF_iw*(1/365)*ED_ind*RadSpec!R18*ET_iw_i*(1/24)*RadSpec!AB18))*1,".")</f>
        <v>48945.517345203545</v>
      </c>
      <c r="J18" s="44">
        <f>IFERROR((TR/(RadSpec!N18*EF_iw*(1/365)*ED_ind*RadSpec!S18*ET_iw_i*(1/24)*RadSpec!AC18))*1,".")</f>
        <v>17238.899123788604</v>
      </c>
      <c r="K18" s="44">
        <f>IFERROR((TR/(RadSpec!O18*EF_iw*(1/365)*ED_ind*RadSpec!T18*ET_iw_i*(1/24)*RadSpec!AD18))*1,".")</f>
        <v>11065.440853499706</v>
      </c>
      <c r="L18" s="44">
        <f>IFERROR((TR/(RadSpec!K18*EF_iw*(1/365)*ED_ind*RadSpec!P18*ET_iw_i*(1/24)*RadSpec!Z18))*1,".")</f>
        <v>50351.469118609391</v>
      </c>
      <c r="M18" s="22">
        <f>IFERROR(TR/(RadSpec!G18*EF_iw*ED_ind*ET_iw_i*(1/24)*IRA_iw),".")</f>
        <v>5.5157198014340865E-4</v>
      </c>
      <c r="N18" s="22">
        <f>IFERROR(TR/(RadSpec!J18*EF_iw*(1/365)*ED_ind*ET_iw_i*(1/24)*GSF_a),".")</f>
        <v>4191267.5411579888</v>
      </c>
      <c r="O18" s="22">
        <f t="shared" ref="O18:O21" si="18">IFERROR(IF(AND(ISNUMBER(M18),ISNUMBER(N18)),1/((1/M18)+(1/N18)),IF(AND(ISNUMBER(M18),NOT(ISNUMBER(N18))),1/((1/M18)),IF(AND(NOT(ISNUMBER(M18)),ISNUMBER(N18)),1/((1/N18)),IF(AND(NOT(ISNUMBER(M18)),NOT(ISNUMBER(N18))),".")))),".")</f>
        <v>5.5157198007082164E-4</v>
      </c>
    </row>
    <row r="19" spans="1:15" ht="15" customHeight="1" x14ac:dyDescent="0.25">
      <c r="A19" s="23" t="s">
        <v>29</v>
      </c>
      <c r="B19" s="24" t="s">
        <v>289</v>
      </c>
      <c r="C19" s="2"/>
      <c r="D19" s="22" t="str">
        <f>IFERROR((TR/(RadSpec!I19*EF_iw*ED_ind*IRS_iw*(1/1000)))*1,".")</f>
        <v>.</v>
      </c>
      <c r="E19" s="22" t="str">
        <f>IFERROR(IF(A19="H-3",(TR/(RadSpec!G19*EF_iw*ED_ind*ET_iw_i*(1/24)*IRA_iw*(1/17)*1000))*1,(TR/(RadSpec!G19*EF_iw*ED_ind*ET_iw_i*(1/24)*IRA_iw*(1/PEF_wind)*1000))*1),".")</f>
        <v>.</v>
      </c>
      <c r="F19" s="22">
        <f>IFERROR((TR/(RadSpec!F19*EF_iw*(1/365)*ED_ind*RadSpec!Q19*ET_iw_i*(1/24)*RadSpec!AA19))*1,".")</f>
        <v>2534.5840873894595</v>
      </c>
      <c r="G19" s="22">
        <f t="shared" si="17"/>
        <v>2534.5840873894595</v>
      </c>
      <c r="H19" s="44">
        <f>IFERROR((TR/(RadSpec!F19*EF_iw*(1/365)*ED_ind*RadSpec!Q19*ET_iw_i*(1/24)*RadSpec!AA19))*1,".")</f>
        <v>2534.5840873894595</v>
      </c>
      <c r="I19" s="44">
        <f>IFERROR((TR/(RadSpec!M19*EF_iw*(1/365)*ED_ind*RadSpec!R19*ET_iw_i*(1/24)*RadSpec!AB19))*1,".")</f>
        <v>12672.920436947297</v>
      </c>
      <c r="J19" s="44">
        <f>IFERROR((TR/(RadSpec!N19*EF_iw*(1/365)*ED_ind*RadSpec!S19*ET_iw_i*(1/24)*RadSpec!AC19))*1,".")</f>
        <v>4499.9813451732234</v>
      </c>
      <c r="K19" s="44">
        <f>IFERROR((TR/(RadSpec!O19*EF_iw*(1/365)*ED_ind*RadSpec!T19*ET_iw_i*(1/24)*RadSpec!AD19))*1,".")</f>
        <v>2885.5264994895388</v>
      </c>
      <c r="L19" s="44">
        <f>IFERROR((TR/(RadSpec!K19*EF_iw*(1/365)*ED_ind*RadSpec!P19*ET_iw_i*(1/24)*RadSpec!Z19))*1,".")</f>
        <v>13024.94600464028</v>
      </c>
      <c r="M19" s="22" t="str">
        <f>IFERROR(TR/(RadSpec!G19*EF_iw*ED_ind*ET_iw_i*(1/24)*IRA_iw),".")</f>
        <v>.</v>
      </c>
      <c r="N19" s="22">
        <f>IFERROR(TR/(RadSpec!J19*EF_iw*(1/365)*ED_ind*ET_iw_i*(1/24)*GSF_a),".")</f>
        <v>1087299.8403873623</v>
      </c>
      <c r="O19" s="22">
        <f t="shared" si="18"/>
        <v>1087299.8403873623</v>
      </c>
    </row>
    <row r="20" spans="1:15" ht="15" customHeight="1" x14ac:dyDescent="0.25">
      <c r="A20" s="23" t="s">
        <v>30</v>
      </c>
      <c r="B20" s="24" t="s">
        <v>289</v>
      </c>
      <c r="C20" s="109"/>
      <c r="D20" s="22" t="str">
        <f>IFERROR((TR/(RadSpec!I20*EF_iw*ED_ind*IRS_iw*(1/1000)))*1,".")</f>
        <v>.</v>
      </c>
      <c r="E20" s="22" t="str">
        <f>IFERROR(IF(A20="H-3",(TR/(RadSpec!G20*EF_iw*ED_ind*ET_iw_i*(1/24)*IRA_iw*(1/17)*1000))*1,(TR/(RadSpec!G20*EF_iw*ED_ind*ET_iw_i*(1/24)*IRA_iw*(1/PEF_wind)*1000))*1),".")</f>
        <v>.</v>
      </c>
      <c r="F20" s="22">
        <f>IFERROR((TR/(RadSpec!F20*EF_iw*(1/365)*ED_ind*RadSpec!Q20*ET_iw_i*(1/24)*RadSpec!AA20))*1,".")</f>
        <v>1136.7225604049697</v>
      </c>
      <c r="G20" s="22">
        <f t="shared" si="17"/>
        <v>1136.7225604049697</v>
      </c>
      <c r="H20" s="44">
        <f>IFERROR((TR/(RadSpec!F20*EF_iw*(1/365)*ED_ind*RadSpec!Q20*ET_iw_i*(1/24)*RadSpec!AA20))*1,".")</f>
        <v>1136.7225604049697</v>
      </c>
      <c r="I20" s="44">
        <f>IFERROR((TR/(RadSpec!M20*EF_iw*(1/365)*ED_ind*RadSpec!R20*ET_iw_i*(1/24)*RadSpec!AB20))*1,".")</f>
        <v>5746.2997079295337</v>
      </c>
      <c r="J20" s="44">
        <f>IFERROR((TR/(RadSpec!N20*EF_iw*(1/365)*ED_ind*RadSpec!S20*ET_iw_i*(1/24)*RadSpec!AC20))*1,".")</f>
        <v>2038.6872007263041</v>
      </c>
      <c r="K20" s="44">
        <f>IFERROR((TR/(RadSpec!O20*EF_iw*(1/365)*ED_ind*RadSpec!T20*ET_iw_i*(1/24)*RadSpec!AD20))*1,".")</f>
        <v>1297.9876987323184</v>
      </c>
      <c r="L20" s="44">
        <f>IFERROR((TR/(RadSpec!K20*EF_iw*(1/365)*ED_ind*RadSpec!P20*ET_iw_i*(1/24)*RadSpec!Z20))*1,".")</f>
        <v>5898.0887568182388</v>
      </c>
      <c r="M20" s="22" t="str">
        <f>IFERROR(TR/(RadSpec!G20*EF_iw*ED_ind*ET_iw_i*(1/24)*IRA_iw),".")</f>
        <v>.</v>
      </c>
      <c r="N20" s="22">
        <f>IFERROR(TR/(RadSpec!J20*EF_iw*(1/365)*ED_ind*ET_iw_i*(1/24)*GSF_a),".")</f>
        <v>490350.90840998688</v>
      </c>
      <c r="O20" s="22">
        <f t="shared" si="18"/>
        <v>490350.90840998682</v>
      </c>
    </row>
    <row r="21" spans="1:15" ht="15" customHeight="1" x14ac:dyDescent="0.25">
      <c r="A21" s="23" t="s">
        <v>31</v>
      </c>
      <c r="B21" s="24" t="s">
        <v>289</v>
      </c>
      <c r="C21" s="109"/>
      <c r="D21" s="22" t="str">
        <f>IFERROR((TR/(RadSpec!I21*EF_iw*ED_ind*IRS_iw*(1/1000)))*1,".")</f>
        <v>.</v>
      </c>
      <c r="E21" s="22">
        <f>IFERROR(IF(A21="H-3",(TR/(RadSpec!G21*EF_iw*ED_ind*ET_iw_i*(1/24)*IRA_iw*(1/17)*1000))*1,(TR/(RadSpec!G21*EF_iw*ED_ind*ET_iw_i*(1/24)*IRA_iw*(1/PEF_wind)*1000))*1),".")</f>
        <v>782356.53155765973</v>
      </c>
      <c r="F21" s="22">
        <f>IFERROR((TR/(RadSpec!F21*EF_iw*(1/365)*ED_ind*RadSpec!Q21*ET_iw_i*(1/24)*RadSpec!AA21))*1,".")</f>
        <v>71125985.008274555</v>
      </c>
      <c r="G21" s="22">
        <f t="shared" si="17"/>
        <v>773844.56021519902</v>
      </c>
      <c r="H21" s="44">
        <f>IFERROR((TR/(RadSpec!F21*EF_iw*(1/365)*ED_ind*RadSpec!Q21*ET_iw_i*(1/24)*RadSpec!AA21))*1,".")</f>
        <v>71125985.008274555</v>
      </c>
      <c r="I21" s="44">
        <f>IFERROR((TR/(RadSpec!M21*EF_iw*(1/365)*ED_ind*RadSpec!R21*ET_iw_i*(1/24)*RadSpec!AB21))*1,".")</f>
        <v>154141372.83597958</v>
      </c>
      <c r="J21" s="44">
        <f>IFERROR((TR/(RadSpec!N21*EF_iw*(1/365)*ED_ind*RadSpec!S21*ET_iw_i*(1/24)*RadSpec!AC21))*1,".")</f>
        <v>81405912.529001728</v>
      </c>
      <c r="K21" s="44">
        <f>IFERROR((TR/(RadSpec!O21*EF_iw*(1/365)*ED_ind*RadSpec!T21*ET_iw_i*(1/24)*RadSpec!AD21))*1,".")</f>
        <v>71369567.148713857</v>
      </c>
      <c r="L21" s="44">
        <f>IFERROR((TR/(RadSpec!K21*EF_iw*(1/365)*ED_ind*RadSpec!P21*ET_iw_i*(1/24)*RadSpec!Z21))*1,".")</f>
        <v>91805786.816847786</v>
      </c>
      <c r="M21" s="22">
        <f>IFERROR(TR/(RadSpec!G21*EF_iw*ED_ind*ET_iw_i*(1/24)*IRA_iw),".")</f>
        <v>0.57553956834532372</v>
      </c>
      <c r="N21" s="22">
        <f>IFERROR(TR/(RadSpec!J21*EF_iw*(1/365)*ED_ind*ET_iw_i*(1/24)*GSF_a),".")</f>
        <v>4439271537.6762133</v>
      </c>
      <c r="O21" s="22">
        <f t="shared" si="18"/>
        <v>0.57553956827070651</v>
      </c>
    </row>
    <row r="22" spans="1:15" ht="15" customHeight="1" x14ac:dyDescent="0.25">
      <c r="A22" s="23" t="s">
        <v>32</v>
      </c>
      <c r="B22" s="24" t="s">
        <v>289</v>
      </c>
      <c r="C22" s="2"/>
      <c r="D22" s="22">
        <f>IFERROR((TR/(RadSpec!I22*EF_iw*ED_ind*IRS_iw*(1/1000)))*1,".")</f>
        <v>43.028102729595261</v>
      </c>
      <c r="E22" s="22">
        <f>IFERROR(IF(A22="H-3",(TR/(RadSpec!G22*EF_iw*ED_ind*ET_iw_i*(1/24)*IRA_iw*(1/17)*1000))*1,(TR/(RadSpec!G22*EF_iw*ED_ind*ET_iw_i*(1/24)*IRA_iw*(1/PEF_wind)*1000))*1),".")</f>
        <v>415.71756522235063</v>
      </c>
      <c r="F22" s="22">
        <f>IFERROR((TR/(RadSpec!F22*EF_iw*(1/365)*ED_ind*RadSpec!Q22*ET_iw_i*(1/24)*RadSpec!AA22))*1,".")</f>
        <v>71.724368056145323</v>
      </c>
      <c r="G22" s="22">
        <f t="shared" ref="G22:G23" si="19">(IF(AND(ISNUMBER(D22),ISNUMBER(E22),ISNUMBER(F22)),1/((1/D22)+(1/E22)+(1/F22)),IF(AND(ISNUMBER(D22),ISNUMBER(E22),NOT(ISNUMBER(F22))), 1/((1/D22)+(1/E22)),IF(AND(ISNUMBER(D22),NOT(ISNUMBER(E22)),ISNUMBER(F22)),1/((1/D22)+(1/F22)),IF(AND(NOT(ISNUMBER(D22)),ISNUMBER(E22),ISNUMBER(F22)),1/((1/E22)+(1/F22)),IF(AND(ISNUMBER(D22),NOT(ISNUMBER(E22)),NOT(ISNUMBER(F22))),1/((1/D22)),IF(AND(NOT(ISNUMBER(D22)),NOT(ISNUMBER(E22)),ISNUMBER(F22)),1/((1/F22)),IF(AND(NOT(ISNUMBER(D22)),ISNUMBER(E22),NOT(ISNUMBER(F22))),1/((1/E22)),IF(AND(NOT(ISNUMBER(D22)),NOT(ISNUMBER(E22)),NOT(ISNUMBER(F22))),".")))))))))</f>
        <v>25.259945511916079</v>
      </c>
      <c r="H22" s="44">
        <f>IFERROR((TR/(RadSpec!F22*EF_iw*(1/365)*ED_ind*RadSpec!Q22*ET_iw_i*(1/24)*RadSpec!AA22))*1,".")</f>
        <v>71.724368056145323</v>
      </c>
      <c r="I22" s="44">
        <f>IFERROR((TR/(RadSpec!M22*EF_iw*(1/365)*ED_ind*RadSpec!R22*ET_iw_i*(1/24)*RadSpec!AB22))*1,".")</f>
        <v>98.507994993077716</v>
      </c>
      <c r="J22" s="44">
        <f>IFERROR((TR/(RadSpec!N22*EF_iw*(1/365)*ED_ind*RadSpec!S22*ET_iw_i*(1/24)*RadSpec!AC22))*1,".")</f>
        <v>72.138162487238446</v>
      </c>
      <c r="K22" s="44">
        <f>IFERROR((TR/(RadSpec!O22*EF_iw*(1/365)*ED_ind*RadSpec!T22*ET_iw_i*(1/24)*RadSpec!AD22))*1,".")</f>
        <v>71.86177106008428</v>
      </c>
      <c r="L22" s="44">
        <f>IFERROR((TR/(RadSpec!K22*EF_iw*(1/365)*ED_ind*RadSpec!P22*ET_iw_i*(1/24)*RadSpec!Z22))*1,".")</f>
        <v>49.553295235619551</v>
      </c>
      <c r="M22" s="22">
        <f>IFERROR(TR/(RadSpec!G22*EF_iw*ED_ind*ET_iw_i*(1/24)*IRA_iw),".")</f>
        <v>3.0582208800030585E-4</v>
      </c>
      <c r="N22" s="22">
        <f>IFERROR(TR/(RadSpec!J22*EF_iw*(1/365)*ED_ind*ET_iw_i*(1/24)*GSF_a),".")</f>
        <v>9496.6694919908859</v>
      </c>
      <c r="O22" s="22">
        <f t="shared" ref="O22:O23" si="20">IFERROR(IF(AND(ISNUMBER(M22),ISNUMBER(N22)),1/((1/M22)+(1/N22)),IF(AND(ISNUMBER(M22),NOT(ISNUMBER(N22))),1/((1/M22)),IF(AND(NOT(ISNUMBER(M22)),ISNUMBER(N22)),1/((1/N22)),IF(AND(NOT(ISNUMBER(M22)),NOT(ISNUMBER(N22))),".")))),".")</f>
        <v>3.0582207815189042E-4</v>
      </c>
    </row>
    <row r="23" spans="1:15" ht="15" customHeight="1" x14ac:dyDescent="0.25">
      <c r="A23" s="25" t="s">
        <v>33</v>
      </c>
      <c r="B23" s="24" t="s">
        <v>275</v>
      </c>
      <c r="C23" s="109"/>
      <c r="D23" s="22">
        <f>IFERROR((TR/(RadSpec!I23*EF_iw*ED_ind*IRS_iw*(1/1000)))*1,".")</f>
        <v>10.865136493277198</v>
      </c>
      <c r="E23" s="22">
        <f>IFERROR(IF(A23="H-3",(TR/(RadSpec!G23*EF_iw*ED_ind*ET_iw_i*(1/24)*IRA_iw*(1/17)*1000))*1,(TR/(RadSpec!G23*EF_iw*ED_ind*ET_iw_i*(1/24)*IRA_iw*(1/PEF_wind)*1000))*1),".")</f>
        <v>386.21855270985793</v>
      </c>
      <c r="F23" s="22">
        <f>IFERROR((TR/(RadSpec!F23*EF_iw*(1/365)*ED_ind*RadSpec!Q23*ET_iw_i*(1/24)*RadSpec!AA23))*1,".")</f>
        <v>17.528899295964482</v>
      </c>
      <c r="G23" s="22">
        <f t="shared" si="19"/>
        <v>6.5930288965899129</v>
      </c>
      <c r="H23" s="44">
        <f>IFERROR((TR/(RadSpec!F23*EF_iw*(1/365)*ED_ind*RadSpec!Q23*ET_iw_i*(1/24)*RadSpec!AA23))*1,".")</f>
        <v>17.528899295964482</v>
      </c>
      <c r="I23" s="44">
        <f>IFERROR((TR/(RadSpec!M23*EF_iw*(1/365)*ED_ind*RadSpec!R23*ET_iw_i*(1/24)*RadSpec!AB23))*1,".")</f>
        <v>69.159005334373163</v>
      </c>
      <c r="J23" s="44">
        <f>IFERROR((TR/(RadSpec!N23*EF_iw*(1/365)*ED_ind*RadSpec!S23*ET_iw_i*(1/24)*RadSpec!AC23))*1,".")</f>
        <v>25.294568100717463</v>
      </c>
      <c r="K23" s="44">
        <f>IFERROR((TR/(RadSpec!O23*EF_iw*(1/365)*ED_ind*RadSpec!T23*ET_iw_i*(1/24)*RadSpec!AD23))*1,".")</f>
        <v>18.034540621809612</v>
      </c>
      <c r="L23" s="44">
        <f>IFERROR((TR/(RadSpec!K23*EF_iw*(1/365)*ED_ind*RadSpec!P23*ET_iw_i*(1/24)*RadSpec!Z23))*1,".")</f>
        <v>70.115597183857929</v>
      </c>
      <c r="M23" s="22">
        <f>IFERROR(TR/(RadSpec!G23*EF_iw*ED_ind*ET_iw_i*(1/24)*IRA_iw),".")</f>
        <v>2.8412117768228151E-4</v>
      </c>
      <c r="N23" s="22">
        <f>IFERROR(TR/(RadSpec!J23*EF_iw*(1/365)*ED_ind*ET_iw_i*(1/24)*GSF_a),".")</f>
        <v>6149.4827038301655</v>
      </c>
      <c r="O23" s="22">
        <f t="shared" si="20"/>
        <v>2.8412116455518716E-4</v>
      </c>
    </row>
    <row r="24" spans="1:15" ht="15" customHeight="1" x14ac:dyDescent="0.25">
      <c r="A24" s="23" t="s">
        <v>34</v>
      </c>
      <c r="B24" s="24" t="s">
        <v>289</v>
      </c>
      <c r="C24" s="109"/>
      <c r="D24" s="22" t="str">
        <f>IFERROR((TR/(RadSpec!I24*EF_iw*ED_ind*IRS_iw*(1/1000)))*1,".")</f>
        <v>.</v>
      </c>
      <c r="E24" s="22" t="str">
        <f>IFERROR(IF(A24="H-3",(TR/(RadSpec!G24*EF_iw*ED_ind*ET_iw_i*(1/24)*IRA_iw*(1/17)*1000))*1,(TR/(RadSpec!G24*EF_iw*ED_ind*ET_iw_i*(1/24)*IRA_iw*(1/PEF_wind)*1000))*1),".")</f>
        <v>.</v>
      </c>
      <c r="F24" s="22">
        <f>IFERROR((TR/(RadSpec!F24*EF_iw*(1/365)*ED_ind*RadSpec!Q24*ET_iw_i*(1/24)*RadSpec!AA24))*1,".")</f>
        <v>129.35118790815176</v>
      </c>
      <c r="G24" s="22">
        <f t="shared" ref="G24:G25" si="21">(IF(AND(ISNUMBER(D24),ISNUMBER(E24),ISNUMBER(F24)),1/((1/D24)+(1/E24)+(1/F24)),IF(AND(ISNUMBER(D24),ISNUMBER(E24),NOT(ISNUMBER(F24))), 1/((1/D24)+(1/E24)),IF(AND(ISNUMBER(D24),NOT(ISNUMBER(E24)),ISNUMBER(F24)),1/((1/D24)+(1/F24)),IF(AND(NOT(ISNUMBER(D24)),ISNUMBER(E24),ISNUMBER(F24)),1/((1/E24)+(1/F24)),IF(AND(ISNUMBER(D24),NOT(ISNUMBER(E24)),NOT(ISNUMBER(F24))),1/((1/D24)),IF(AND(NOT(ISNUMBER(D24)),NOT(ISNUMBER(E24)),ISNUMBER(F24)),1/((1/F24)),IF(AND(NOT(ISNUMBER(D24)),ISNUMBER(E24),NOT(ISNUMBER(F24))),1/((1/E24)),IF(AND(NOT(ISNUMBER(D24)),NOT(ISNUMBER(E24)),NOT(ISNUMBER(F24))),".")))))))))</f>
        <v>129.35118790815176</v>
      </c>
      <c r="H24" s="44">
        <f>IFERROR((TR/(RadSpec!F24*EF_iw*(1/365)*ED_ind*RadSpec!Q24*ET_iw_i*(1/24)*RadSpec!AA24))*1,".")</f>
        <v>129.35118790815176</v>
      </c>
      <c r="I24" s="44">
        <f>IFERROR((TR/(RadSpec!M24*EF_iw*(1/365)*ED_ind*RadSpec!R24*ET_iw_i*(1/24)*RadSpec!AB24))*1,".")</f>
        <v>628.54967314617954</v>
      </c>
      <c r="J24" s="44">
        <f>IFERROR((TR/(RadSpec!N24*EF_iw*(1/365)*ED_ind*RadSpec!S24*ET_iw_i*(1/24)*RadSpec!AC24))*1,".")</f>
        <v>223.28478865097617</v>
      </c>
      <c r="K24" s="44">
        <f>IFERROR((TR/(RadSpec!O24*EF_iw*(1/365)*ED_ind*RadSpec!T24*ET_iw_i*(1/24)*RadSpec!AD24))*1,".")</f>
        <v>144.27632497447689</v>
      </c>
      <c r="L24" s="44">
        <f>IFERROR((TR/(RadSpec!K24*EF_iw*(1/365)*ED_ind*RadSpec!P24*ET_iw_i*(1/24)*RadSpec!Z24))*1,".")</f>
        <v>643.4278643801714</v>
      </c>
      <c r="M24" s="22" t="str">
        <f>IFERROR(TR/(RadSpec!G24*EF_iw*ED_ind*ET_iw_i*(1/24)*IRA_iw),".")</f>
        <v>.</v>
      </c>
      <c r="N24" s="22">
        <f>IFERROR(TR/(RadSpec!J24*EF_iw*(1/365)*ED_ind*ET_iw_i*(1/24)*GSF_a),".")</f>
        <v>54962.409514086437</v>
      </c>
      <c r="O24" s="22">
        <f t="shared" ref="O24:O25" si="22">IFERROR(IF(AND(ISNUMBER(M24),ISNUMBER(N24)),1/((1/M24)+(1/N24)),IF(AND(ISNUMBER(M24),NOT(ISNUMBER(N24))),1/((1/M24)),IF(AND(NOT(ISNUMBER(M24)),ISNUMBER(N24)),1/((1/N24)),IF(AND(NOT(ISNUMBER(M24)),NOT(ISNUMBER(N24))),".")))),".")</f>
        <v>54962.409514086445</v>
      </c>
    </row>
    <row r="25" spans="1:15" ht="15" customHeight="1" x14ac:dyDescent="0.25">
      <c r="A25" s="25" t="s">
        <v>35</v>
      </c>
      <c r="B25" s="24" t="s">
        <v>275</v>
      </c>
      <c r="C25" s="109"/>
      <c r="D25" s="22" t="str">
        <f>IFERROR((TR/(RadSpec!I25*EF_iw*ED_ind*IRS_iw*(1/1000)))*1,".")</f>
        <v>.</v>
      </c>
      <c r="E25" s="22">
        <f>IFERROR(IF(A25="H-3",(TR/(RadSpec!G25*EF_iw*ED_ind*ET_iw_i*(1/24)*IRA_iw*(1/17)*1000))*1,(TR/(RadSpec!G25*EF_iw*ED_ind*ET_iw_i*(1/24)*IRA_iw*(1/PEF_wind)*1000))*1),".")</f>
        <v>4769629.7318646796</v>
      </c>
      <c r="F25" s="22">
        <f>IFERROR((TR/(RadSpec!F25*EF_iw*(1/365)*ED_ind*RadSpec!Q25*ET_iw_i*(1/24)*RadSpec!AA25))*1,".")</f>
        <v>258.70237581630352</v>
      </c>
      <c r="G25" s="22">
        <f t="shared" si="21"/>
        <v>258.68834468744677</v>
      </c>
      <c r="H25" s="44">
        <f>IFERROR((TR/(RadSpec!F25*EF_iw*(1/365)*ED_ind*RadSpec!Q25*ET_iw_i*(1/24)*RadSpec!AA25))*1,".")</f>
        <v>258.70237581630352</v>
      </c>
      <c r="I25" s="44">
        <f>IFERROR((TR/(RadSpec!M25*EF_iw*(1/365)*ED_ind*RadSpec!R25*ET_iw_i*(1/24)*RadSpec!AB25))*1,".")</f>
        <v>1227.4818224268322</v>
      </c>
      <c r="J25" s="44">
        <f>IFERROR((TR/(RadSpec!N25*EF_iw*(1/365)*ED_ind*RadSpec!S25*ET_iw_i*(1/24)*RadSpec!AC25))*1,".")</f>
        <v>434.97036750190171</v>
      </c>
      <c r="K25" s="44">
        <f>IFERROR((TR/(RadSpec!O25*EF_iw*(1/365)*ED_ind*RadSpec!T25*ET_iw_i*(1/24)*RadSpec!AD25))*1,".")</f>
        <v>284.18064010124243</v>
      </c>
      <c r="L25" s="44">
        <f>IFERROR((TR/(RadSpec!K25*EF_iw*(1/365)*ED_ind*RadSpec!P25*ET_iw_i*(1/24)*RadSpec!Z25))*1,".")</f>
        <v>1250.3948164454669</v>
      </c>
      <c r="M25" s="22">
        <f>IFERROR(TR/(RadSpec!G25*EF_iw*ED_ind*ET_iw_i*(1/24)*IRA_iw),".")</f>
        <v>3.5087719298245617</v>
      </c>
      <c r="N25" s="22">
        <f>IFERROR(TR/(RadSpec!J25*EF_iw*(1/365)*ED_ind*ET_iw_i*(1/24)*GSF_a),".")</f>
        <v>107947.75393773813</v>
      </c>
      <c r="O25" s="22">
        <f t="shared" si="22"/>
        <v>3.5086578831691866</v>
      </c>
    </row>
    <row r="26" spans="1:15" ht="15" customHeight="1" x14ac:dyDescent="0.25">
      <c r="A26" s="23" t="s">
        <v>36</v>
      </c>
      <c r="B26" s="24" t="s">
        <v>289</v>
      </c>
      <c r="C26" s="2"/>
      <c r="D26" s="22">
        <f>IFERROR((TR/(RadSpec!I26*EF_iw*ED_ind*IRS_iw*(1/1000)))*1,".")</f>
        <v>16.256858362121523</v>
      </c>
      <c r="E26" s="22">
        <f>IFERROR(IF(A26="H-3",(TR/(RadSpec!G26*EF_iw*ED_ind*ET_iw_i*(1/24)*IRA_iw*(1/17)*1000))*1,(TR/(RadSpec!G26*EF_iw*ED_ind*ET_iw_i*(1/24)*IRA_iw*(1/PEF_wind)*1000))*1),".")</f>
        <v>62.269559028008885</v>
      </c>
      <c r="F26" s="22">
        <f>IFERROR((TR/(RadSpec!F26*EF_iw*(1/365)*ED_ind*RadSpec!Q26*ET_iw_i*(1/24)*RadSpec!AA26))*1,".")</f>
        <v>1.9537419006960415</v>
      </c>
      <c r="G26" s="22">
        <f t="shared" ref="G26:G29" si="23">(IF(AND(ISNUMBER(D26),ISNUMBER(E26),ISNUMBER(F26)),1/((1/D26)+(1/E26)+(1/F26)),IF(AND(ISNUMBER(D26),ISNUMBER(E26),NOT(ISNUMBER(F26))), 1/((1/D26)+(1/E26)),IF(AND(ISNUMBER(D26),NOT(ISNUMBER(E26)),ISNUMBER(F26)),1/((1/D26)+(1/F26)),IF(AND(NOT(ISNUMBER(D26)),ISNUMBER(E26),ISNUMBER(F26)),1/((1/E26)+(1/F26)),IF(AND(ISNUMBER(D26),NOT(ISNUMBER(E26)),NOT(ISNUMBER(F26))),1/((1/D26)),IF(AND(NOT(ISNUMBER(D26)),NOT(ISNUMBER(E26)),ISNUMBER(F26)),1/((1/F26)),IF(AND(NOT(ISNUMBER(D26)),ISNUMBER(E26),NOT(ISNUMBER(F26))),1/((1/E26)),IF(AND(NOT(ISNUMBER(D26)),NOT(ISNUMBER(E26)),NOT(ISNUMBER(F26))),".")))))))))</f>
        <v>1.6966117352747883</v>
      </c>
      <c r="H26" s="44">
        <f>IFERROR((TR/(RadSpec!F26*EF_iw*(1/365)*ED_ind*RadSpec!Q26*ET_iw_i*(1/24)*RadSpec!AA26))*1,".")</f>
        <v>1.9537419006960415</v>
      </c>
      <c r="I26" s="44">
        <f>IFERROR((TR/(RadSpec!M26*EF_iw*(1/365)*ED_ind*RadSpec!R26*ET_iw_i*(1/24)*RadSpec!AB26))*1,".")</f>
        <v>6.4764924884951656</v>
      </c>
      <c r="J26" s="44">
        <f>IFERROR((TR/(RadSpec!N26*EF_iw*(1/365)*ED_ind*RadSpec!S26*ET_iw_i*(1/24)*RadSpec!AC26))*1,".")</f>
        <v>2.5675458243233402</v>
      </c>
      <c r="K26" s="44">
        <f>IFERROR((TR/(RadSpec!O26*EF_iw*(1/365)*ED_ind*RadSpec!T26*ET_iw_i*(1/24)*RadSpec!AD26))*1,".")</f>
        <v>1.9743076049138948</v>
      </c>
      <c r="L26" s="44">
        <f>IFERROR((TR/(RadSpec!K26*EF_iw*(1/365)*ED_ind*RadSpec!P26*ET_iw_i*(1/24)*RadSpec!Z26))*1,".")</f>
        <v>6.1900733487399338</v>
      </c>
      <c r="M26" s="22">
        <f>IFERROR(TR/(RadSpec!G26*EF_iw*ED_ind*ET_iw_i*(1/24)*IRA_iw),".")</f>
        <v>4.5808520384791572E-5</v>
      </c>
      <c r="N26" s="22">
        <f>IFERROR(TR/(RadSpec!J26*EF_iw*(1/365)*ED_ind*ET_iw_i*(1/24)*GSF_a),".")</f>
        <v>583.84193763990652</v>
      </c>
      <c r="O26" s="22">
        <f t="shared" ref="O26:O29" si="24">IFERROR(IF(AND(ISNUMBER(M26),ISNUMBER(N26)),1/((1/M26)+(1/N26)),IF(AND(ISNUMBER(M26),NOT(ISNUMBER(N26))),1/((1/M26)),IF(AND(NOT(ISNUMBER(M26)),ISNUMBER(N26)),1/((1/N26)),IF(AND(NOT(ISNUMBER(M26)),NOT(ISNUMBER(N26))),".")))),".")</f>
        <v>4.5808516790633222E-5</v>
      </c>
    </row>
    <row r="27" spans="1:15" ht="15" customHeight="1" x14ac:dyDescent="0.25">
      <c r="A27" s="23" t="s">
        <v>37</v>
      </c>
      <c r="B27" s="24" t="s">
        <v>289</v>
      </c>
      <c r="C27" s="109"/>
      <c r="D27" s="22" t="str">
        <f>IFERROR((TR/(RadSpec!I27*EF_iw*ED_ind*IRS_iw*(1/1000)))*1,".")</f>
        <v>.</v>
      </c>
      <c r="E27" s="22" t="str">
        <f>IFERROR(IF(A27="H-3",(TR/(RadSpec!G27*EF_iw*ED_ind*ET_iw_i*(1/24)*IRA_iw*(1/17)*1000))*1,(TR/(RadSpec!G27*EF_iw*ED_ind*ET_iw_i*(1/24)*IRA_iw*(1/PEF_wind)*1000))*1),".")</f>
        <v>.</v>
      </c>
      <c r="F27" s="22">
        <f>IFERROR((TR/(RadSpec!F27*EF_iw*(1/365)*ED_ind*RadSpec!Q27*ET_iw_i*(1/24)*RadSpec!AA27))*1,".")</f>
        <v>71.724368056145323</v>
      </c>
      <c r="G27" s="22">
        <f t="shared" si="23"/>
        <v>71.724368056145323</v>
      </c>
      <c r="H27" s="44">
        <f>IFERROR((TR/(RadSpec!F27*EF_iw*(1/365)*ED_ind*RadSpec!Q27*ET_iw_i*(1/24)*RadSpec!AA27))*1,".")</f>
        <v>71.724368056145323</v>
      </c>
      <c r="I27" s="44">
        <f>IFERROR((TR/(RadSpec!M27*EF_iw*(1/365)*ED_ind*RadSpec!R27*ET_iw_i*(1/24)*RadSpec!AB27))*1,".")</f>
        <v>211.21534061578831</v>
      </c>
      <c r="J27" s="44">
        <f>IFERROR((TR/(RadSpec!N27*EF_iw*(1/365)*ED_ind*RadSpec!S27*ET_iw_i*(1/24)*RadSpec!AC27))*1,".")</f>
        <v>99.342808509968222</v>
      </c>
      <c r="K27" s="44">
        <f>IFERROR((TR/(RadSpec!O27*EF_iw*(1/365)*ED_ind*RadSpec!T27*ET_iw_i*(1/24)*RadSpec!AD27))*1,".")</f>
        <v>74.724789827418334</v>
      </c>
      <c r="L27" s="44">
        <f>IFERROR((TR/(RadSpec!K27*EF_iw*(1/365)*ED_ind*RadSpec!P27*ET_iw_i*(1/24)*RadSpec!Z27))*1,".")</f>
        <v>51.106055168070839</v>
      </c>
      <c r="M27" s="22" t="str">
        <f>IFERROR(TR/(RadSpec!G27*EF_iw*ED_ind*ET_iw_i*(1/24)*IRA_iw),".")</f>
        <v>.</v>
      </c>
      <c r="N27" s="22">
        <f>IFERROR(TR/(RadSpec!J27*EF_iw*(1/365)*ED_ind*ET_iw_i*(1/24)*GSF_a),".")</f>
        <v>18639.425835211921</v>
      </c>
      <c r="O27" s="22">
        <f t="shared" si="24"/>
        <v>18639.425835211921</v>
      </c>
    </row>
    <row r="28" spans="1:15" ht="15" customHeight="1" x14ac:dyDescent="0.25">
      <c r="A28" s="23" t="s">
        <v>38</v>
      </c>
      <c r="B28" s="24" t="s">
        <v>289</v>
      </c>
      <c r="C28" s="2"/>
      <c r="D28" s="22" t="str">
        <f>IFERROR((TR/(RadSpec!I28*EF_iw*ED_ind*IRS_iw*(1/1000)))*1,".")</f>
        <v>.</v>
      </c>
      <c r="E28" s="22" t="str">
        <f>IFERROR(IF(A28="H-3",(TR/(RadSpec!G28*EF_iw*ED_ind*ET_iw_i*(1/24)*IRA_iw*(1/17)*1000))*1,(TR/(RadSpec!G28*EF_iw*ED_ind*ET_iw_i*(1/24)*IRA_iw*(1/PEF_wind)*1000))*1),".")</f>
        <v>.</v>
      </c>
      <c r="F28" s="22">
        <f>IFERROR((TR/(RadSpec!F28*EF_iw*(1/365)*ED_ind*RadSpec!Q28*ET_iw_i*(1/24)*RadSpec!AA28))*1,".")</f>
        <v>4.2434213227787329E-2</v>
      </c>
      <c r="G28" s="22">
        <f t="shared" si="23"/>
        <v>4.2434213227787329E-2</v>
      </c>
      <c r="H28" s="44">
        <f>IFERROR((TR/(RadSpec!F28*EF_iw*(1/365)*ED_ind*RadSpec!Q28*ET_iw_i*(1/24)*RadSpec!AA28))*1,".")</f>
        <v>4.2434213227787329E-2</v>
      </c>
      <c r="I28" s="44">
        <f>IFERROR((TR/(RadSpec!M28*EF_iw*(1/365)*ED_ind*RadSpec!R28*ET_iw_i*(1/24)*RadSpec!AB28))*1,".")</f>
        <v>0.22985198831718137</v>
      </c>
      <c r="J28" s="44">
        <f>IFERROR((TR/(RadSpec!N28*EF_iw*(1/365)*ED_ind*RadSpec!S28*ET_iw_i*(1/24)*RadSpec!AC28))*1,".")</f>
        <v>8.0016733134308876E-2</v>
      </c>
      <c r="K28" s="44">
        <f>IFERROR((TR/(RadSpec!O28*EF_iw*(1/365)*ED_ind*RadSpec!T28*ET_iw_i*(1/24)*RadSpec!AD28))*1,".")</f>
        <v>5.0283973851694357E-2</v>
      </c>
      <c r="L28" s="44">
        <f>IFERROR((TR/(RadSpec!K28*EF_iw*(1/365)*ED_ind*RadSpec!P28*ET_iw_i*(1/24)*RadSpec!Z28))*1,".")</f>
        <v>0.23592355027272954</v>
      </c>
      <c r="M28" s="22" t="str">
        <f>IFERROR(TR/(RadSpec!G28*EF_iw*ED_ind*ET_iw_i*(1/24)*IRA_iw),".")</f>
        <v>.</v>
      </c>
      <c r="N28" s="22">
        <f>IFERROR(TR/(RadSpec!J28*EF_iw*(1/365)*ED_ind*ET_iw_i*(1/24)*GSF_a),".")</f>
        <v>18.298460728470243</v>
      </c>
      <c r="O28" s="22">
        <f t="shared" si="24"/>
        <v>18.298460728470243</v>
      </c>
    </row>
    <row r="29" spans="1:15" ht="15" customHeight="1" x14ac:dyDescent="0.25">
      <c r="A29" s="23" t="s">
        <v>39</v>
      </c>
      <c r="B29" s="24" t="s">
        <v>289</v>
      </c>
      <c r="C29" s="109"/>
      <c r="D29" s="22" t="str">
        <f>IFERROR((TR/(RadSpec!I29*EF_iw*ED_ind*IRS_iw*(1/1000)))*1,".")</f>
        <v>.</v>
      </c>
      <c r="E29" s="22" t="str">
        <f>IFERROR(IF(A29="H-3",(TR/(RadSpec!G29*EF_iw*ED_ind*ET_iw_i*(1/24)*IRA_iw*(1/17)*1000))*1,(TR/(RadSpec!G29*EF_iw*ED_ind*ET_iw_i*(1/24)*IRA_iw*(1/PEF_wind)*1000))*1),".")</f>
        <v>.</v>
      </c>
      <c r="F29" s="22">
        <f>IFERROR((TR/(RadSpec!F29*EF_iw*(1/365)*ED_ind*RadSpec!Q29*ET_iw_i*(1/24)*RadSpec!AA29))*1,".")</f>
        <v>3.2618995211620865E-2</v>
      </c>
      <c r="G29" s="22">
        <f t="shared" si="23"/>
        <v>3.2618995211620865E-2</v>
      </c>
      <c r="H29" s="44">
        <f>IFERROR((TR/(RadSpec!F29*EF_iw*(1/365)*ED_ind*RadSpec!Q29*ET_iw_i*(1/24)*RadSpec!AA29))*1,".")</f>
        <v>3.2618995211620865E-2</v>
      </c>
      <c r="I29" s="44">
        <f>IFERROR((TR/(RadSpec!M29*EF_iw*(1/365)*ED_ind*RadSpec!R29*ET_iw_i*(1/24)*RadSpec!AB29))*1,".")</f>
        <v>0.17627746472445488</v>
      </c>
      <c r="J29" s="44">
        <f>IFERROR((TR/(RadSpec!N29*EF_iw*(1/365)*ED_ind*RadSpec!S29*ET_iw_i*(1/24)*RadSpec!AC29))*1,".")</f>
        <v>6.153517797467848E-2</v>
      </c>
      <c r="K29" s="44">
        <f>IFERROR((TR/(RadSpec!O29*EF_iw*(1/365)*ED_ind*RadSpec!T29*ET_iw_i*(1/24)*RadSpec!AD29))*1,".")</f>
        <v>3.8552769263477907E-2</v>
      </c>
      <c r="L29" s="44">
        <f>IFERROR((TR/(RadSpec!K29*EF_iw*(1/365)*ED_ind*RadSpec!P29*ET_iw_i*(1/24)*RadSpec!Z29))*1,".")</f>
        <v>0.18209633249205825</v>
      </c>
      <c r="M29" s="22" t="str">
        <f>IFERROR(TR/(RadSpec!G29*EF_iw*ED_ind*ET_iw_i*(1/24)*IRA_iw),".")</f>
        <v>.</v>
      </c>
      <c r="N29" s="22">
        <f>IFERROR(TR/(RadSpec!J29*EF_iw*(1/365)*ED_ind*ET_iw_i*(1/24)*GSF_a),".")</f>
        <v>14.155413016363772</v>
      </c>
      <c r="O29" s="22">
        <f t="shared" si="24"/>
        <v>14.155413016363774</v>
      </c>
    </row>
    <row r="30" spans="1:15" ht="15" customHeight="1" x14ac:dyDescent="0.25">
      <c r="A30" s="23" t="s">
        <v>40</v>
      </c>
      <c r="B30" s="24" t="s">
        <v>289</v>
      </c>
      <c r="C30" s="2"/>
      <c r="D30" s="22">
        <f>IFERROR((TR/(RadSpec!I30*EF_iw*ED_ind*IRS_iw*(1/1000)))*1,".")</f>
        <v>61.337933678359221</v>
      </c>
      <c r="E30" s="22">
        <f>IFERROR(IF(A30="H-3",(TR/(RadSpec!G30*EF_iw*ED_ind*ET_iw_i*(1/24)*IRA_iw*(1/17)*1000))*1,(TR/(RadSpec!G30*EF_iw*ED_ind*ET_iw_i*(1/24)*IRA_iw*(1/PEF_wind)*1000))*1),".")</f>
        <v>384.19910929699597</v>
      </c>
      <c r="F30" s="22">
        <f>IFERROR((TR/(RadSpec!F30*EF_iw*(1/365)*ED_ind*RadSpec!Q30*ET_iw_i*(1/24)*RadSpec!AA30))*1,".")</f>
        <v>615.95803765786525</v>
      </c>
      <c r="G30" s="22">
        <f t="shared" ref="G30" si="25">(IF(AND(ISNUMBER(D30),ISNUMBER(E30),ISNUMBER(F30)),1/((1/D30)+(1/E30)+(1/F30)),IF(AND(ISNUMBER(D30),ISNUMBER(E30),NOT(ISNUMBER(F30))), 1/((1/D30)+(1/E30)),IF(AND(ISNUMBER(D30),NOT(ISNUMBER(E30)),ISNUMBER(F30)),1/((1/D30)+(1/F30)),IF(AND(NOT(ISNUMBER(D30)),ISNUMBER(E30),ISNUMBER(F30)),1/((1/E30)+(1/F30)),IF(AND(ISNUMBER(D30),NOT(ISNUMBER(E30)),NOT(ISNUMBER(F30))),1/((1/D30)),IF(AND(NOT(ISNUMBER(D30)),NOT(ISNUMBER(E30)),ISNUMBER(F30)),1/((1/F30)),IF(AND(NOT(ISNUMBER(D30)),ISNUMBER(E30),NOT(ISNUMBER(F30))),1/((1/E30)),IF(AND(NOT(ISNUMBER(D30)),NOT(ISNUMBER(E30)),NOT(ISNUMBER(F30))),".")))))))))</f>
        <v>48.710560144755007</v>
      </c>
      <c r="H30" s="44">
        <f>IFERROR((TR/(RadSpec!F30*EF_iw*(1/365)*ED_ind*RadSpec!Q30*ET_iw_i*(1/24)*RadSpec!AA30))*1,".")</f>
        <v>615.95803765786525</v>
      </c>
      <c r="I30" s="44">
        <f>IFERROR((TR/(RadSpec!M30*EF_iw*(1/365)*ED_ind*RadSpec!R30*ET_iw_i*(1/24)*RadSpec!AB30))*1,".")</f>
        <v>2112.1534061578832</v>
      </c>
      <c r="J30" s="44">
        <f>IFERROR((TR/(RadSpec!N30*EF_iw*(1/365)*ED_ind*RadSpec!S30*ET_iw_i*(1/24)*RadSpec!AC30))*1,".")</f>
        <v>865.12556488385599</v>
      </c>
      <c r="K30" s="44">
        <f>IFERROR((TR/(RadSpec!O30*EF_iw*(1/365)*ED_ind*RadSpec!T30*ET_iw_i*(1/24)*RadSpec!AD30))*1,".")</f>
        <v>636.87342093996608</v>
      </c>
      <c r="L30" s="44">
        <f>IFERROR((TR/(RadSpec!K30*EF_iw*(1/365)*ED_ind*RadSpec!P30*ET_iw_i*(1/24)*RadSpec!Z30))*1,".")</f>
        <v>1225.8772710249673</v>
      </c>
      <c r="M30" s="22">
        <f>IFERROR(TR/(RadSpec!G30*EF_iw*ED_ind*ET_iw_i*(1/24)*IRA_iw),".")</f>
        <v>2.8263557675322379E-4</v>
      </c>
      <c r="N30" s="22">
        <f>IFERROR(TR/(RadSpec!J30*EF_iw*(1/365)*ED_ind*ET_iw_i*(1/24)*GSF_a),".")</f>
        <v>186858.503080269</v>
      </c>
      <c r="O30" s="22">
        <f t="shared" ref="O30" si="26">IFERROR(IF(AND(ISNUMBER(M30),ISNUMBER(N30)),1/((1/M30)+(1/N30)),IF(AND(ISNUMBER(M30),NOT(ISNUMBER(N30))),1/((1/M30)),IF(AND(NOT(ISNUMBER(M30)),ISNUMBER(N30)),1/((1/N30)),IF(AND(NOT(ISNUMBER(M30)),NOT(ISNUMBER(N30))),".")))),".")</f>
        <v>2.8263557632571918E-4</v>
      </c>
    </row>
    <row r="31" spans="1:15" x14ac:dyDescent="0.25">
      <c r="A31" s="26" t="s">
        <v>13</v>
      </c>
      <c r="B31" s="26" t="s">
        <v>289</v>
      </c>
      <c r="C31" s="110"/>
      <c r="D31" s="27">
        <f>1/SUM(1/D32,1/D33,1/D34,1/D35,1/D36,1/D37,1/D38,1/D41,1/D44)</f>
        <v>5.7689700149354524</v>
      </c>
      <c r="E31" s="27">
        <f>1/SUM(1/E32,1/E33,1/E34,1/E35,1/E36,1/E37,1/E38,1/E41,1/E44)</f>
        <v>33.546202896296968</v>
      </c>
      <c r="F31" s="27">
        <f>1/SUM(1/F32,1/F33,1/F34,1/F35,1/F36,1/F37,1/F38,1/F39,1/F40,1/F41,1/F42,1/F43,1/F44)</f>
        <v>0.21683424490745026</v>
      </c>
      <c r="G31" s="28">
        <f>1/SUM(1/G32,1/G33,1/G34,1/G35,1/G36,1/G37,1/G38,1/G39,1/G40,1/G41,1/G42,1/G43,1/G44)</f>
        <v>0.20768568019891548</v>
      </c>
      <c r="H31" s="27">
        <f t="shared" ref="H31:O31" si="27">1/SUM(1/H32,1/H33,1/H34,1/H35,1/H36,1/H37,1/H38,1/H39,1/H40,1/H41,1/H42,1/H43,1/H44)</f>
        <v>0.21683424490745026</v>
      </c>
      <c r="I31" s="27">
        <f t="shared" si="27"/>
        <v>0.89569232176287794</v>
      </c>
      <c r="J31" s="27">
        <f t="shared" si="27"/>
        <v>0.33382379401472956</v>
      </c>
      <c r="K31" s="27">
        <f t="shared" si="27"/>
        <v>0.23174913772036032</v>
      </c>
      <c r="L31" s="27">
        <f t="shared" si="27"/>
        <v>0.86785483483019754</v>
      </c>
      <c r="M31" s="27">
        <f>1/SUM(1/M32,1/M33,1/M34,1/M35,1/M36,1/M37,1/M38,1/M41,1/M44)</f>
        <v>2.4678220677878321E-5</v>
      </c>
      <c r="N31" s="27">
        <f t="shared" si="27"/>
        <v>79.283653658822047</v>
      </c>
      <c r="O31" s="28">
        <f t="shared" si="27"/>
        <v>2.4678212996416152E-5</v>
      </c>
    </row>
    <row r="32" spans="1:15" x14ac:dyDescent="0.25">
      <c r="A32" s="29" t="s">
        <v>290</v>
      </c>
      <c r="B32" s="24">
        <v>1</v>
      </c>
      <c r="C32" s="2"/>
      <c r="D32" s="30">
        <f>IFERROR(D3/$B32,0)</f>
        <v>35.157108327840035</v>
      </c>
      <c r="E32" s="30">
        <f>IFERROR(E3/$B32,0)</f>
        <v>288.14933197274695</v>
      </c>
      <c r="F32" s="30">
        <f>IFERROR(F3/$B32,0)</f>
        <v>15.827782486651477</v>
      </c>
      <c r="G32" s="30">
        <f>IF(AND(D32&lt;&gt;0,E32&lt;&gt;0,F32&lt;&gt;0),1/((1/D32)+(1/E32)+(1/F32)),IF(AND(D32&lt;&gt;0,E32&lt;&gt;0,F32=0), 1/((1/D32)+(1/E32)),IF(AND(D32&lt;&gt;0,E32=0,F32&lt;&gt;0),1/((1/D32)+(1/F32)),IF(AND(D32=0,E32&lt;&gt;0,F32&lt;&gt;0),1/((1/E32)+(1/F32)),IF(AND(D32&lt;&gt;0,E32=0,F32=0),1/((1/D32)),IF(AND(D32=0,E32&lt;&gt;0,F32=0),1/((1/E32)),IF(AND(D32=0,E32=0,F32&lt;&gt;0),1/((1/F32)),IF(AND(D32=0,E32=0,F32=0),0))))))))</f>
        <v>10.515886560049738</v>
      </c>
      <c r="H32" s="30">
        <f t="shared" ref="H32:N32" si="28">IFERROR(H3/$B32,0)</f>
        <v>15.827782486651477</v>
      </c>
      <c r="I32" s="30">
        <f t="shared" si="28"/>
        <v>31.843671046998299</v>
      </c>
      <c r="J32" s="30">
        <f t="shared" si="28"/>
        <v>16.989060006052533</v>
      </c>
      <c r="K32" s="30">
        <f t="shared" si="28"/>
        <v>15.827782486651477</v>
      </c>
      <c r="L32" s="30">
        <f t="shared" si="28"/>
        <v>23.444902808352499</v>
      </c>
      <c r="M32" s="30">
        <f t="shared" si="28"/>
        <v>2.1197668256491784E-4</v>
      </c>
      <c r="N32" s="30">
        <f t="shared" si="28"/>
        <v>3019.0619310554525</v>
      </c>
      <c r="O32" s="30">
        <f>IFERROR(IF(AND(M32&lt;&gt;0,N32&lt;&gt;0),1/((1/M32)+(1/N32)),IF(AND(M32&lt;&gt;0,N32=0),1/((1/M32)),IF(AND(M32=0,N32&lt;&gt;0),1/((1/N32)),IF(AND(M32=0,N32=0),0)))),0)</f>
        <v>2.1197666768145014E-4</v>
      </c>
    </row>
    <row r="33" spans="1:15" x14ac:dyDescent="0.25">
      <c r="A33" s="29" t="s">
        <v>291</v>
      </c>
      <c r="B33" s="24">
        <v>1</v>
      </c>
      <c r="C33" s="2"/>
      <c r="D33" s="30">
        <f t="shared" ref="D33:F34" si="29">IFERROR(D13/$B33,0)</f>
        <v>68.09959565865077</v>
      </c>
      <c r="E33" s="30">
        <f t="shared" si="29"/>
        <v>379.24170143509923</v>
      </c>
      <c r="F33" s="30">
        <f t="shared" si="29"/>
        <v>8.4676849872153515</v>
      </c>
      <c r="G33" s="30">
        <f>IF(AND(D33&lt;&gt;0,E33&lt;&gt;0,F33&lt;&gt;0),1/((1/D33)+(1/E33)+(1/F33)),IF(AND(D33&lt;&gt;0,E33&lt;&gt;0,F33=0), 1/((1/D33)+(1/E33)),IF(AND(D33&lt;&gt;0,E33=0,F33&lt;&gt;0),1/((1/D33)+(1/F33)),IF(AND(D33=0,E33&lt;&gt;0,F33&lt;&gt;0),1/((1/E33)+(1/F33)),IF(AND(D33&lt;&gt;0,E33=0,F33=0),1/((1/D33)),IF(AND(D33=0,E33&lt;&gt;0,F33=0),1/((1/E33)),IF(AND(D33=0,E33=0,F33&lt;&gt;0),1/((1/F33)),IF(AND(D33=0,E33=0,F33=0),0))))))))</f>
        <v>7.3845836749079146</v>
      </c>
      <c r="H33" s="30">
        <f t="shared" ref="H33:N34" si="30">IFERROR(H13/$B33,0)</f>
        <v>8.4676849872153515</v>
      </c>
      <c r="I33" s="30">
        <f t="shared" si="30"/>
        <v>25.243502350850605</v>
      </c>
      <c r="J33" s="30">
        <f t="shared" si="30"/>
        <v>10.608553306946835</v>
      </c>
      <c r="K33" s="30">
        <f t="shared" si="30"/>
        <v>8.506087186703855</v>
      </c>
      <c r="L33" s="30">
        <f t="shared" si="30"/>
        <v>20.839913607424439</v>
      </c>
      <c r="M33" s="30">
        <f t="shared" si="30"/>
        <v>2.7898866608544026E-4</v>
      </c>
      <c r="N33" s="30">
        <f t="shared" si="30"/>
        <v>2283.8261487588434</v>
      </c>
      <c r="O33" s="30">
        <f t="shared" ref="O33:O44" si="31">IFERROR(IF(AND(M33&lt;&gt;0,N33&lt;&gt;0),1/((1/M33)+(1/N33)),IF(AND(M33&lt;&gt;0,N33=0),1/((1/M33)),IF(AND(M33=0,N33&lt;&gt;0),1/((1/N33)),IF(AND(M33=0,N33=0),0)))),0)</f>
        <v>2.7898863200462093E-4</v>
      </c>
    </row>
    <row r="34" spans="1:15" x14ac:dyDescent="0.25">
      <c r="A34" s="29" t="s">
        <v>292</v>
      </c>
      <c r="B34" s="24">
        <v>1</v>
      </c>
      <c r="C34" s="2"/>
      <c r="D34" s="30">
        <f t="shared" si="29"/>
        <v>1239.0614109811818</v>
      </c>
      <c r="E34" s="30">
        <f t="shared" si="29"/>
        <v>711652.10317724443</v>
      </c>
      <c r="F34" s="30">
        <f t="shared" si="29"/>
        <v>0.54523029786866284</v>
      </c>
      <c r="G34" s="30">
        <f>IF(AND(D34&lt;&gt;0,E34&lt;&gt;0,F34&lt;&gt;0),1/((1/D34)+(1/E34)+(1/F34)),IF(AND(D34&lt;&gt;0,E34&lt;&gt;0,F34=0), 1/((1/D34)+(1/E34)),IF(AND(D34&lt;&gt;0,E34=0,F34&lt;&gt;0),1/((1/D34)+(1/F34)),IF(AND(D34=0,E34&lt;&gt;0,F34&lt;&gt;0),1/((1/E34)+(1/F34)),IF(AND(D34&lt;&gt;0,E34=0,F34=0),1/((1/D34)),IF(AND(D34=0,E34&lt;&gt;0,F34=0),1/((1/E34)),IF(AND(D34=0,E34=0,F34&lt;&gt;0),1/((1/F34)),IF(AND(D34=0,E34=0,F34=0),0))))))))</f>
        <v>0.54499006566211727</v>
      </c>
      <c r="H34" s="30">
        <f t="shared" si="30"/>
        <v>0.54523029786866284</v>
      </c>
      <c r="I34" s="30">
        <f t="shared" si="30"/>
        <v>2.2985198831718137</v>
      </c>
      <c r="J34" s="30">
        <f t="shared" si="30"/>
        <v>0.83731795744116055</v>
      </c>
      <c r="K34" s="30">
        <f t="shared" si="30"/>
        <v>0.57621880942187398</v>
      </c>
      <c r="L34" s="30">
        <f t="shared" si="30"/>
        <v>2.3299282294014909</v>
      </c>
      <c r="M34" s="30">
        <f t="shared" si="30"/>
        <v>0.52352594725476087</v>
      </c>
      <c r="N34" s="30">
        <f t="shared" si="30"/>
        <v>205.26317096232015</v>
      </c>
      <c r="O34" s="30">
        <f t="shared" si="31"/>
        <v>0.52219408556707636</v>
      </c>
    </row>
    <row r="35" spans="1:15" x14ac:dyDescent="0.25">
      <c r="A35" s="29" t="s">
        <v>293</v>
      </c>
      <c r="B35" s="24">
        <v>1</v>
      </c>
      <c r="C35" s="2"/>
      <c r="D35" s="30">
        <f>IFERROR(D30/$B35,0)</f>
        <v>61.337933678359221</v>
      </c>
      <c r="E35" s="30">
        <f>IFERROR(E30/$B35,0)</f>
        <v>384.19910929699597</v>
      </c>
      <c r="F35" s="30">
        <f>IFERROR(F30/$B35,0)</f>
        <v>615.95803765786525</v>
      </c>
      <c r="G35" s="30">
        <f t="shared" ref="G35:G61" si="32">IF(AND(D35&lt;&gt;0,E35&lt;&gt;0,F35&lt;&gt;0),1/((1/D35)+(1/E35)+(1/F35)),IF(AND(D35&lt;&gt;0,E35&lt;&gt;0,F35=0), 1/((1/D35)+(1/E35)),IF(AND(D35&lt;&gt;0,E35=0,F35&lt;&gt;0),1/((1/D35)+(1/F35)),IF(AND(D35=0,E35&lt;&gt;0,F35&lt;&gt;0),1/((1/E35)+(1/F35)),IF(AND(D35&lt;&gt;0,E35=0,F35=0),1/((1/D35)),IF(AND(D35=0,E35&lt;&gt;0,F35=0),1/((1/E35)),IF(AND(D35=0,E35=0,F35&lt;&gt;0),1/((1/F35)),IF(AND(D35=0,E35=0,F35=0),0))))))))</f>
        <v>48.710560144755007</v>
      </c>
      <c r="H35" s="30">
        <f t="shared" ref="H35:N35" si="33">IFERROR(H30/$B35,0)</f>
        <v>615.95803765786525</v>
      </c>
      <c r="I35" s="30">
        <f t="shared" si="33"/>
        <v>2112.1534061578832</v>
      </c>
      <c r="J35" s="30">
        <f t="shared" si="33"/>
        <v>865.12556488385599</v>
      </c>
      <c r="K35" s="30">
        <f t="shared" si="33"/>
        <v>636.87342093996608</v>
      </c>
      <c r="L35" s="30">
        <f t="shared" si="33"/>
        <v>1225.8772710249673</v>
      </c>
      <c r="M35" s="30">
        <f t="shared" si="33"/>
        <v>2.8263557675322379E-4</v>
      </c>
      <c r="N35" s="30">
        <f t="shared" si="33"/>
        <v>186858.503080269</v>
      </c>
      <c r="O35" s="30">
        <f t="shared" si="31"/>
        <v>2.8263557632571918E-4</v>
      </c>
    </row>
    <row r="36" spans="1:15" x14ac:dyDescent="0.25">
      <c r="A36" s="29" t="s">
        <v>294</v>
      </c>
      <c r="B36" s="24">
        <v>1</v>
      </c>
      <c r="C36" s="2"/>
      <c r="D36" s="30">
        <f>IFERROR(D26/$B36,0)</f>
        <v>16.256858362121523</v>
      </c>
      <c r="E36" s="30">
        <f>IFERROR(E26/$B36,0)</f>
        <v>62.269559028008885</v>
      </c>
      <c r="F36" s="30">
        <f>IFERROR(F26/$B36,0)</f>
        <v>1.9537419006960415</v>
      </c>
      <c r="G36" s="30">
        <f t="shared" si="32"/>
        <v>1.6966117352747883</v>
      </c>
      <c r="H36" s="30">
        <f t="shared" ref="H36:N36" si="34">IFERROR(H26/$B36,0)</f>
        <v>1.9537419006960415</v>
      </c>
      <c r="I36" s="30">
        <f t="shared" si="34"/>
        <v>6.4764924884951656</v>
      </c>
      <c r="J36" s="30">
        <f t="shared" si="34"/>
        <v>2.5675458243233402</v>
      </c>
      <c r="K36" s="30">
        <f t="shared" si="34"/>
        <v>1.9743076049138948</v>
      </c>
      <c r="L36" s="30">
        <f t="shared" si="34"/>
        <v>6.1900733487399338</v>
      </c>
      <c r="M36" s="30">
        <f t="shared" si="34"/>
        <v>4.5808520384791572E-5</v>
      </c>
      <c r="N36" s="30">
        <f t="shared" si="34"/>
        <v>583.84193763990652</v>
      </c>
      <c r="O36" s="30">
        <f t="shared" si="31"/>
        <v>4.5808516790633222E-5</v>
      </c>
    </row>
    <row r="37" spans="1:15" x14ac:dyDescent="0.25">
      <c r="A37" s="29" t="s">
        <v>295</v>
      </c>
      <c r="B37" s="24">
        <v>1</v>
      </c>
      <c r="C37" s="2"/>
      <c r="D37" s="30">
        <f>IFERROR(D22/$B37,0)</f>
        <v>43.028102729595261</v>
      </c>
      <c r="E37" s="30">
        <f>IFERROR(E22/$B37,0)</f>
        <v>415.71756522235063</v>
      </c>
      <c r="F37" s="30">
        <f>IFERROR(F22/$B37,0)</f>
        <v>71.724368056145323</v>
      </c>
      <c r="G37" s="30">
        <f t="shared" si="32"/>
        <v>25.259945511916079</v>
      </c>
      <c r="H37" s="30">
        <f t="shared" ref="H37:N37" si="35">IFERROR(H22/$B37,0)</f>
        <v>71.724368056145323</v>
      </c>
      <c r="I37" s="30">
        <f t="shared" si="35"/>
        <v>98.507994993077716</v>
      </c>
      <c r="J37" s="30">
        <f t="shared" si="35"/>
        <v>72.138162487238446</v>
      </c>
      <c r="K37" s="30">
        <f t="shared" si="35"/>
        <v>71.86177106008428</v>
      </c>
      <c r="L37" s="30">
        <f t="shared" si="35"/>
        <v>49.553295235619551</v>
      </c>
      <c r="M37" s="30">
        <f t="shared" si="35"/>
        <v>3.0582208800030585E-4</v>
      </c>
      <c r="N37" s="30">
        <f t="shared" si="35"/>
        <v>9496.6694919908859</v>
      </c>
      <c r="O37" s="30">
        <f t="shared" si="31"/>
        <v>3.0582207815189042E-4</v>
      </c>
    </row>
    <row r="38" spans="1:15" x14ac:dyDescent="0.25">
      <c r="A38" s="29" t="s">
        <v>296</v>
      </c>
      <c r="B38" s="24">
        <v>1</v>
      </c>
      <c r="C38" s="2"/>
      <c r="D38" s="30">
        <f>IFERROR(D2/$B38,0)</f>
        <v>35.445281346920687</v>
      </c>
      <c r="E38" s="30">
        <f>IFERROR(E2/$B38,0)</f>
        <v>380.71543861684188</v>
      </c>
      <c r="F38" s="30">
        <f>IFERROR(F2/$B38,0)</f>
        <v>10.626584842312749</v>
      </c>
      <c r="G38" s="30">
        <f t="shared" si="32"/>
        <v>8.0036660563238122</v>
      </c>
      <c r="H38" s="30">
        <f t="shared" ref="H38:N38" si="36">IFERROR(H2/$B38,0)</f>
        <v>10.626584842312749</v>
      </c>
      <c r="I38" s="30">
        <f t="shared" si="36"/>
        <v>37.936735935845476</v>
      </c>
      <c r="J38" s="30">
        <f t="shared" si="36"/>
        <v>14.653064255220313</v>
      </c>
      <c r="K38" s="30">
        <f t="shared" si="36"/>
        <v>10.904605957373255</v>
      </c>
      <c r="L38" s="30">
        <f t="shared" si="36"/>
        <v>36.419266498411645</v>
      </c>
      <c r="M38" s="30">
        <f t="shared" si="36"/>
        <v>2.8007281893292258E-4</v>
      </c>
      <c r="N38" s="30">
        <f t="shared" si="36"/>
        <v>3402.4348746815417</v>
      </c>
      <c r="O38" s="30">
        <f t="shared" si="31"/>
        <v>2.800727958786158E-4</v>
      </c>
    </row>
    <row r="39" spans="1:15" x14ac:dyDescent="0.25">
      <c r="A39" s="29" t="s">
        <v>297</v>
      </c>
      <c r="B39" s="24">
        <v>1</v>
      </c>
      <c r="C39" s="2"/>
      <c r="D39" s="30">
        <f>IFERROR(D11/$B39,0)</f>
        <v>0</v>
      </c>
      <c r="E39" s="30">
        <f>IFERROR(E11/$B39,0)</f>
        <v>0</v>
      </c>
      <c r="F39" s="30">
        <f>IFERROR(F11/$B39,0)</f>
        <v>4.1772655337821822</v>
      </c>
      <c r="G39" s="30">
        <f t="shared" si="32"/>
        <v>4.1772655337821822</v>
      </c>
      <c r="H39" s="30">
        <f t="shared" ref="H39:N39" si="37">IFERROR(H11/$B39,0)</f>
        <v>4.1772655337821822</v>
      </c>
      <c r="I39" s="30">
        <f t="shared" si="37"/>
        <v>17.113067743322993</v>
      </c>
      <c r="J39" s="30">
        <f t="shared" si="37"/>
        <v>6.2023552403048932</v>
      </c>
      <c r="K39" s="30">
        <f t="shared" si="37"/>
        <v>4.3366294211981495</v>
      </c>
      <c r="L39" s="30">
        <f t="shared" si="37"/>
        <v>17.366594672853704</v>
      </c>
      <c r="M39" s="30">
        <f t="shared" si="37"/>
        <v>0</v>
      </c>
      <c r="N39" s="30">
        <f t="shared" si="37"/>
        <v>1520.2368589002633</v>
      </c>
      <c r="O39" s="30">
        <f t="shared" si="31"/>
        <v>1520.2368589002633</v>
      </c>
    </row>
    <row r="40" spans="1:15" x14ac:dyDescent="0.25">
      <c r="A40" s="29" t="s">
        <v>298</v>
      </c>
      <c r="B40" s="24">
        <v>1</v>
      </c>
      <c r="C40" s="2"/>
      <c r="D40" s="30">
        <f>IFERROR(D4/$B40,0)</f>
        <v>0</v>
      </c>
      <c r="E40" s="30">
        <f>IFERROR(E4/$B40,0)</f>
        <v>0</v>
      </c>
      <c r="F40" s="30">
        <f>IFERROR(F4/$B40,0)</f>
        <v>467.7287343312218</v>
      </c>
      <c r="G40" s="30">
        <f t="shared" si="32"/>
        <v>467.7287343312218</v>
      </c>
      <c r="H40" s="30">
        <f t="shared" ref="H40:N40" si="38">IFERROR(H4/$B40,0)</f>
        <v>467.7287343312218</v>
      </c>
      <c r="I40" s="30">
        <f t="shared" si="38"/>
        <v>2021.1123110648705</v>
      </c>
      <c r="J40" s="30">
        <f t="shared" si="38"/>
        <v>732.65321276101554</v>
      </c>
      <c r="K40" s="30">
        <f t="shared" si="38"/>
        <v>498.82771932664889</v>
      </c>
      <c r="L40" s="30">
        <f t="shared" si="38"/>
        <v>2061.0903567782416</v>
      </c>
      <c r="M40" s="30">
        <f t="shared" si="38"/>
        <v>0</v>
      </c>
      <c r="N40" s="30">
        <f t="shared" si="38"/>
        <v>179482.50953762681</v>
      </c>
      <c r="O40" s="30">
        <f t="shared" si="31"/>
        <v>179482.50953762681</v>
      </c>
    </row>
    <row r="41" spans="1:15" x14ac:dyDescent="0.25">
      <c r="A41" s="29" t="s">
        <v>299</v>
      </c>
      <c r="B41" s="31">
        <v>0.99987999999999999</v>
      </c>
      <c r="C41" s="111"/>
      <c r="D41" s="30">
        <f>IFERROR(D8/$B41,0)</f>
        <v>10092.983210083981</v>
      </c>
      <c r="E41" s="30">
        <f>IFERROR(E8/$B41,0)</f>
        <v>146973.79616164035</v>
      </c>
      <c r="F41" s="30">
        <f>IFERROR(F8/$B41,0)</f>
        <v>0.80680314956857169</v>
      </c>
      <c r="G41" s="30">
        <f t="shared" si="32"/>
        <v>0.80673423311074455</v>
      </c>
      <c r="H41" s="30">
        <f t="shared" ref="H41:N41" si="39">IFERROR(H8/$B41,0)</f>
        <v>0.80680314956857169</v>
      </c>
      <c r="I41" s="30">
        <f t="shared" si="39"/>
        <v>3.7218597673550184</v>
      </c>
      <c r="J41" s="30">
        <f t="shared" si="39"/>
        <v>1.332256621269126</v>
      </c>
      <c r="K41" s="30">
        <f t="shared" si="39"/>
        <v>0.88066540974034224</v>
      </c>
      <c r="L41" s="30">
        <f t="shared" si="39"/>
        <v>3.6423637334891832</v>
      </c>
      <c r="M41" s="30">
        <f t="shared" si="39"/>
        <v>0.10812108263802468</v>
      </c>
      <c r="N41" s="30">
        <f t="shared" si="39"/>
        <v>329.09075837665438</v>
      </c>
      <c r="O41" s="30">
        <f t="shared" si="31"/>
        <v>0.10808557167720362</v>
      </c>
    </row>
    <row r="42" spans="1:15" x14ac:dyDescent="0.25">
      <c r="A42" s="29" t="s">
        <v>300</v>
      </c>
      <c r="B42" s="24">
        <v>0.97898250799999997</v>
      </c>
      <c r="C42" s="2"/>
      <c r="D42" s="30">
        <f>IFERROR(D19/$B42,0)</f>
        <v>0</v>
      </c>
      <c r="E42" s="30">
        <f>IFERROR(E19/$B42,0)</f>
        <v>0</v>
      </c>
      <c r="F42" s="30">
        <f>IFERROR(F19/$B42,0)</f>
        <v>2588.998339273146</v>
      </c>
      <c r="G42" s="30">
        <f t="shared" si="32"/>
        <v>2588.998339273146</v>
      </c>
      <c r="H42" s="30">
        <f t="shared" ref="H42:N42" si="40">IFERROR(H19/$B42,0)</f>
        <v>2588.998339273146</v>
      </c>
      <c r="I42" s="30">
        <f t="shared" si="40"/>
        <v>12944.991696365731</v>
      </c>
      <c r="J42" s="30">
        <f t="shared" si="40"/>
        <v>4596.5901417037612</v>
      </c>
      <c r="K42" s="30">
        <f t="shared" si="40"/>
        <v>2947.4750324032743</v>
      </c>
      <c r="L42" s="30">
        <f t="shared" si="40"/>
        <v>13304.574799042559</v>
      </c>
      <c r="M42" s="30">
        <f t="shared" si="40"/>
        <v>0</v>
      </c>
      <c r="N42" s="30">
        <f t="shared" si="40"/>
        <v>1110642.7658331178</v>
      </c>
      <c r="O42" s="30">
        <f t="shared" si="31"/>
        <v>1110642.7658331178</v>
      </c>
    </row>
    <row r="43" spans="1:15" x14ac:dyDescent="0.25">
      <c r="A43" s="29" t="s">
        <v>301</v>
      </c>
      <c r="B43" s="24">
        <v>2.0897492E-2</v>
      </c>
      <c r="C43" s="2"/>
      <c r="D43" s="30">
        <f>IFERROR(D28/$B43,0)</f>
        <v>0</v>
      </c>
      <c r="E43" s="30">
        <f>IFERROR(E28/$B43,0)</f>
        <v>0</v>
      </c>
      <c r="F43" s="30">
        <f>IFERROR(F28/$B43,0)</f>
        <v>2.0305888011722808</v>
      </c>
      <c r="G43" s="30">
        <f t="shared" si="32"/>
        <v>2.0305888011722808</v>
      </c>
      <c r="H43" s="30">
        <f t="shared" ref="H43:N43" si="41">IFERROR(H28/$B43,0)</f>
        <v>2.0305888011722808</v>
      </c>
      <c r="I43" s="30">
        <f t="shared" si="41"/>
        <v>10.999022673016521</v>
      </c>
      <c r="J43" s="30">
        <f t="shared" si="41"/>
        <v>3.8290113059647961</v>
      </c>
      <c r="K43" s="30">
        <f t="shared" si="41"/>
        <v>2.4062205097001286</v>
      </c>
      <c r="L43" s="30">
        <f t="shared" si="41"/>
        <v>11.289562894567901</v>
      </c>
      <c r="M43" s="30">
        <f t="shared" si="41"/>
        <v>0</v>
      </c>
      <c r="N43" s="30">
        <f t="shared" si="41"/>
        <v>875.62951231038835</v>
      </c>
      <c r="O43" s="30">
        <f t="shared" si="31"/>
        <v>875.62951231038824</v>
      </c>
    </row>
    <row r="44" spans="1:15" x14ac:dyDescent="0.25">
      <c r="A44" s="29" t="s">
        <v>302</v>
      </c>
      <c r="B44" s="24">
        <v>0.99987999999999999</v>
      </c>
      <c r="C44" s="2"/>
      <c r="D44" s="30">
        <f>IFERROR(D15/$B44,0)</f>
        <v>26211.171548612041</v>
      </c>
      <c r="E44" s="30">
        <f>IFERROR(E15/$B44,0)</f>
        <v>52303842.050405815</v>
      </c>
      <c r="F44" s="30">
        <f>IFERROR(F15/$B44,0)</f>
        <v>906.19194335600446</v>
      </c>
      <c r="G44" s="30">
        <f t="shared" si="32"/>
        <v>875.89469111945061</v>
      </c>
      <c r="H44" s="30">
        <f t="shared" ref="H44:N44" si="42">IFERROR(H15/$B44,0)</f>
        <v>906.19194335600446</v>
      </c>
      <c r="I44" s="30">
        <f t="shared" si="42"/>
        <v>2641.6241694788473</v>
      </c>
      <c r="J44" s="30">
        <f t="shared" si="42"/>
        <v>1168.2967879589748</v>
      </c>
      <c r="K44" s="30">
        <f t="shared" si="42"/>
        <v>920.19490936812826</v>
      </c>
      <c r="L44" s="30">
        <f t="shared" si="42"/>
        <v>861.25680566892981</v>
      </c>
      <c r="M44" s="30">
        <f t="shared" si="42"/>
        <v>38.477253607837959</v>
      </c>
      <c r="N44" s="30">
        <f t="shared" si="42"/>
        <v>102784.51083544819</v>
      </c>
      <c r="O44" s="30">
        <f t="shared" si="31"/>
        <v>38.462855085944007</v>
      </c>
    </row>
    <row r="45" spans="1:15" x14ac:dyDescent="0.25">
      <c r="A45" s="26" t="s">
        <v>20</v>
      </c>
      <c r="B45" s="26" t="s">
        <v>289</v>
      </c>
      <c r="C45" s="110"/>
      <c r="D45" s="27">
        <f>IFERROR(IF(AND(D46&lt;&gt;0,D47&lt;&gt;0),1/SUM(1/D46,1/D47),IF(AND(D46&lt;&gt;0,D47=0),1/(1/D46),IF(AND(D46=0,D47&lt;&gt;0),1/(1/D47),IF(AND(D46=0,D47=0),".")))),".")</f>
        <v>100.6827549318818</v>
      </c>
      <c r="E45" s="27">
        <f t="shared" ref="E45:G45" si="43">IFERROR(IF(AND(E46&lt;&gt;0,E47&lt;&gt;0),1/SUM(1/E46,1/E47),IF(AND(E46&lt;&gt;0,E47=0),1/(1/E46),IF(AND(E46=0,E47&lt;&gt;0),1/(1/E47),IF(AND(E46=0,E47=0),".")))),".")</f>
        <v>96681.683754013779</v>
      </c>
      <c r="F45" s="27">
        <f t="shared" si="43"/>
        <v>0.17273430107689544</v>
      </c>
      <c r="G45" s="28">
        <f t="shared" si="43"/>
        <v>0.17243815301751306</v>
      </c>
      <c r="H45" s="27">
        <f t="shared" ref="H45:O45" si="44">IFERROR(IF(AND(H46&lt;&gt;0,H47&lt;&gt;0),1/SUM(1/H46,1/H47),IF(AND(H46&lt;&gt;0,H47=0),1/(1/H46),IF(AND(H46=0,H47&lt;&gt;0),1/(1/H47),IF(AND(H46=0,H47=0),".")))),".")</f>
        <v>0.17273430107689544</v>
      </c>
      <c r="I45" s="27">
        <f t="shared" si="44"/>
        <v>0.84732832452887064</v>
      </c>
      <c r="J45" s="27">
        <f t="shared" si="44"/>
        <v>0.30049911236049004</v>
      </c>
      <c r="K45" s="27">
        <f t="shared" si="44"/>
        <v>0.19379521328883129</v>
      </c>
      <c r="L45" s="27">
        <f t="shared" si="44"/>
        <v>0.86479566209218939</v>
      </c>
      <c r="M45" s="27">
        <f t="shared" si="44"/>
        <v>7.1123755334281655E-2</v>
      </c>
      <c r="N45" s="27">
        <f t="shared" si="44"/>
        <v>73.537914259447277</v>
      </c>
      <c r="O45" s="28">
        <f t="shared" si="44"/>
        <v>7.105503295032882E-2</v>
      </c>
    </row>
    <row r="46" spans="1:15" x14ac:dyDescent="0.25">
      <c r="A46" s="29" t="s">
        <v>303</v>
      </c>
      <c r="B46" s="24">
        <v>1</v>
      </c>
      <c r="C46" s="2"/>
      <c r="D46" s="30">
        <f>IFERROR(D10/$B46,0)</f>
        <v>100.6827549318818</v>
      </c>
      <c r="E46" s="30">
        <f>IFERROR(E10/$B46,0)</f>
        <v>96681.683754013779</v>
      </c>
      <c r="F46" s="30">
        <f>IFERROR(F10/$B46,0)</f>
        <v>793.06225144532766</v>
      </c>
      <c r="G46" s="30">
        <f t="shared" si="32"/>
        <v>89.258093816554407</v>
      </c>
      <c r="H46" s="30">
        <f t="shared" ref="H46:N46" si="45">IFERROR(H10/$B46,0)</f>
        <v>793.06225144532766</v>
      </c>
      <c r="I46" s="30">
        <f t="shared" si="45"/>
        <v>2276.2041561507281</v>
      </c>
      <c r="J46" s="30">
        <f t="shared" si="45"/>
        <v>1032.8151016895376</v>
      </c>
      <c r="K46" s="30">
        <f t="shared" si="45"/>
        <v>808.44492442594833</v>
      </c>
      <c r="L46" s="30">
        <f t="shared" si="45"/>
        <v>791.38912433257394</v>
      </c>
      <c r="M46" s="30">
        <f t="shared" si="45"/>
        <v>7.1123755334281655E-2</v>
      </c>
      <c r="N46" s="30">
        <f t="shared" si="45"/>
        <v>107947.75393773813</v>
      </c>
      <c r="O46" s="30">
        <f t="shared" ref="O46:O47" si="46">IFERROR(IF(AND(M46&lt;&gt;0,N46&lt;&gt;0),1/((1/M46)+(1/N46)),IF(AND(M46&lt;&gt;0,N46=0),1/((1/M46)),IF(AND(M46=0,N46&lt;&gt;0),1/((1/N46)),IF(AND(M46=0,N46=0),0)))),0)</f>
        <v>7.1123708472859759E-2</v>
      </c>
    </row>
    <row r="47" spans="1:15" x14ac:dyDescent="0.25">
      <c r="A47" s="29" t="s">
        <v>304</v>
      </c>
      <c r="B47" s="32">
        <v>0.94399</v>
      </c>
      <c r="C47" s="2"/>
      <c r="D47" s="30">
        <f>IFERROR(D6/$B$47,0)</f>
        <v>0</v>
      </c>
      <c r="E47" s="30">
        <f>IFERROR(E6/$B$47,0)</f>
        <v>0</v>
      </c>
      <c r="F47" s="30">
        <f>IFERROR(F6/$B$47,0)</f>
        <v>0.1727719319676102</v>
      </c>
      <c r="G47" s="30">
        <f t="shared" si="32"/>
        <v>0.1727719319676102</v>
      </c>
      <c r="H47" s="30">
        <f t="shared" ref="H47:N47" si="47">IFERROR(H6/$B$47,0)</f>
        <v>0.1727719319676102</v>
      </c>
      <c r="I47" s="30">
        <f t="shared" si="47"/>
        <v>0.84764386417556192</v>
      </c>
      <c r="J47" s="30">
        <f t="shared" si="47"/>
        <v>0.30058656847617504</v>
      </c>
      <c r="K47" s="30">
        <f t="shared" si="47"/>
        <v>0.19384167976853825</v>
      </c>
      <c r="L47" s="30">
        <f t="shared" si="47"/>
        <v>0.86574170702724063</v>
      </c>
      <c r="M47" s="30">
        <f t="shared" si="47"/>
        <v>0</v>
      </c>
      <c r="N47" s="30">
        <f t="shared" si="47"/>
        <v>73.588045097315458</v>
      </c>
      <c r="O47" s="30">
        <f t="shared" si="46"/>
        <v>73.588045097315458</v>
      </c>
    </row>
    <row r="48" spans="1:15" x14ac:dyDescent="0.25">
      <c r="A48" s="26" t="s">
        <v>33</v>
      </c>
      <c r="B48" s="26" t="s">
        <v>289</v>
      </c>
      <c r="C48" s="112"/>
      <c r="D48" s="27">
        <f>1/SUM(1/D49,1/D52,1/D54,1/D58,1/D59,1/D61)</f>
        <v>1.3712573194900335</v>
      </c>
      <c r="E48" s="27">
        <f>1/SUM(1/E49,1/E50,1/E51,1/E52,1/E54,1/E58,1/E59,1/E61)</f>
        <v>183.86675287681183</v>
      </c>
      <c r="F48" s="27">
        <f>1/SUM(1/F49,1/F50,1/F51,1/F52,1/F53,1/F54,1/F55,1/F56,1/F57,1/F58,1/F59,1/F60,1/F61,1/F62)</f>
        <v>5.2317029778655162E-2</v>
      </c>
      <c r="G48" s="28">
        <f>1/SUM(1/G49,1/G50,1/G51,1/G52,1/G53,1/G54,1/G55,1/G56,1/G57,1/G58,1/G59,1/G60,1/G61,1/G62)</f>
        <v>5.0380545879316535E-2</v>
      </c>
      <c r="H48" s="27">
        <f t="shared" ref="H48:O48" si="48">1/SUM(1/H49,1/H50,1/H51,1/H52,1/H53,1/H54,1/H55,1/H56,1/H57,1/H58,1/H59,1/H60,1/H61,1/H62)</f>
        <v>5.2317029778655162E-2</v>
      </c>
      <c r="I48" s="27">
        <f t="shared" si="48"/>
        <v>0.28047411705925174</v>
      </c>
      <c r="J48" s="27">
        <f t="shared" si="48"/>
        <v>9.8114152055287035E-2</v>
      </c>
      <c r="K48" s="27">
        <f t="shared" si="48"/>
        <v>6.1647473148039915E-2</v>
      </c>
      <c r="L48" s="27">
        <f t="shared" si="48"/>
        <v>0.28795122273524842</v>
      </c>
      <c r="M48" s="27">
        <f>1/SUM(1/M49,1/M50,1/M51,1/M52,1/M54,1/M58,1/M59,1/M61)</f>
        <v>1.3526133842467635E-4</v>
      </c>
      <c r="N48" s="27">
        <f t="shared" si="48"/>
        <v>22.600621124082622</v>
      </c>
      <c r="O48" s="28">
        <f t="shared" si="48"/>
        <v>1.3526052891063353E-4</v>
      </c>
    </row>
    <row r="49" spans="1:15" x14ac:dyDescent="0.25">
      <c r="A49" s="29" t="s">
        <v>305</v>
      </c>
      <c r="B49" s="24">
        <v>1</v>
      </c>
      <c r="C49" s="109"/>
      <c r="D49" s="30">
        <f>IFERROR(D23/$B49,0)</f>
        <v>10.865136493277198</v>
      </c>
      <c r="E49" s="30">
        <f>IFERROR(E23/$B49,0)</f>
        <v>386.21855270985793</v>
      </c>
      <c r="F49" s="30">
        <f>IFERROR(F23/$B49,0)</f>
        <v>17.528899295964482</v>
      </c>
      <c r="G49" s="30">
        <f t="shared" si="32"/>
        <v>6.5930288965899129</v>
      </c>
      <c r="H49" s="30">
        <f t="shared" ref="H49:N49" si="49">IFERROR(H23/$B49,0)</f>
        <v>17.528899295964482</v>
      </c>
      <c r="I49" s="30">
        <f t="shared" si="49"/>
        <v>69.159005334373163</v>
      </c>
      <c r="J49" s="30">
        <f t="shared" si="49"/>
        <v>25.294568100717463</v>
      </c>
      <c r="K49" s="30">
        <f t="shared" si="49"/>
        <v>18.034540621809612</v>
      </c>
      <c r="L49" s="30">
        <f t="shared" si="49"/>
        <v>70.115597183857929</v>
      </c>
      <c r="M49" s="30">
        <f t="shared" si="49"/>
        <v>2.8412117768228151E-4</v>
      </c>
      <c r="N49" s="30">
        <f t="shared" si="49"/>
        <v>6149.4827038301655</v>
      </c>
      <c r="O49" s="30">
        <f t="shared" ref="O49:O62" si="50">IFERROR(IF(AND(M49&lt;&gt;0,N49&lt;&gt;0),1/((1/M49)+(1/N49)),IF(AND(M49&lt;&gt;0,N49=0),1/((1/M49)),IF(AND(M49=0,N49&lt;&gt;0),1/((1/N49)),IF(AND(M49=0,N49=0),0)))),0)</f>
        <v>2.8412116455518716E-4</v>
      </c>
    </row>
    <row r="50" spans="1:15" x14ac:dyDescent="0.25">
      <c r="A50" s="29" t="s">
        <v>306</v>
      </c>
      <c r="B50" s="24">
        <v>1</v>
      </c>
      <c r="C50" s="109"/>
      <c r="D50" s="30">
        <f>IFERROR(D25/$B50,0)</f>
        <v>0</v>
      </c>
      <c r="E50" s="30">
        <f>IFERROR(E25/$B50,0)</f>
        <v>4769629.7318646796</v>
      </c>
      <c r="F50" s="30">
        <f>IFERROR(F25/$B50,0)</f>
        <v>258.70237581630352</v>
      </c>
      <c r="G50" s="30">
        <f t="shared" si="32"/>
        <v>258.68834468744677</v>
      </c>
      <c r="H50" s="30">
        <f t="shared" ref="H50:N50" si="51">IFERROR(H25/$B50,0)</f>
        <v>258.70237581630352</v>
      </c>
      <c r="I50" s="30">
        <f t="shared" si="51"/>
        <v>1227.4818224268322</v>
      </c>
      <c r="J50" s="30">
        <f t="shared" si="51"/>
        <v>434.97036750190171</v>
      </c>
      <c r="K50" s="30">
        <f t="shared" si="51"/>
        <v>284.18064010124243</v>
      </c>
      <c r="L50" s="30">
        <f t="shared" si="51"/>
        <v>1250.3948164454669</v>
      </c>
      <c r="M50" s="30">
        <f t="shared" si="51"/>
        <v>3.5087719298245617</v>
      </c>
      <c r="N50" s="30">
        <f t="shared" si="51"/>
        <v>107947.75393773813</v>
      </c>
      <c r="O50" s="30">
        <f t="shared" si="50"/>
        <v>3.5086578831691866</v>
      </c>
    </row>
    <row r="51" spans="1:15" x14ac:dyDescent="0.25">
      <c r="A51" s="29" t="s">
        <v>307</v>
      </c>
      <c r="B51" s="24">
        <v>1</v>
      </c>
      <c r="C51" s="109"/>
      <c r="D51" s="30">
        <f>IFERROR(D21/$B51,0)</f>
        <v>0</v>
      </c>
      <c r="E51" s="30">
        <f>IFERROR(E21/$B51,0)</f>
        <v>782356.53155765973</v>
      </c>
      <c r="F51" s="30">
        <f>IFERROR(F21/$B51,0)</f>
        <v>71125985.008274555</v>
      </c>
      <c r="G51" s="30">
        <f t="shared" si="32"/>
        <v>773844.56021519902</v>
      </c>
      <c r="H51" s="30">
        <f t="shared" ref="H51:N51" si="52">IFERROR(H21/$B51,0)</f>
        <v>71125985.008274555</v>
      </c>
      <c r="I51" s="30">
        <f t="shared" si="52"/>
        <v>154141372.83597958</v>
      </c>
      <c r="J51" s="30">
        <f t="shared" si="52"/>
        <v>81405912.529001728</v>
      </c>
      <c r="K51" s="30">
        <f t="shared" si="52"/>
        <v>71369567.148713857</v>
      </c>
      <c r="L51" s="30">
        <f t="shared" si="52"/>
        <v>91805786.816847786</v>
      </c>
      <c r="M51" s="30">
        <f t="shared" si="52"/>
        <v>0.57553956834532372</v>
      </c>
      <c r="N51" s="30">
        <f t="shared" si="52"/>
        <v>4439271537.6762133</v>
      </c>
      <c r="O51" s="30">
        <f t="shared" si="50"/>
        <v>0.57553956827070651</v>
      </c>
    </row>
    <row r="52" spans="1:15" x14ac:dyDescent="0.25">
      <c r="A52" s="29" t="s">
        <v>308</v>
      </c>
      <c r="B52" s="32">
        <v>0.99980000000000002</v>
      </c>
      <c r="C52" s="109"/>
      <c r="D52" s="30">
        <f>IFERROR(D17/$B52,0)</f>
        <v>14514.058262405244</v>
      </c>
      <c r="E52" s="30">
        <f>IFERROR(E17/$B52,0)</f>
        <v>139986.24420703278</v>
      </c>
      <c r="F52" s="30">
        <f>IFERROR(F17/$B52,0)</f>
        <v>0.44088540967140544</v>
      </c>
      <c r="G52" s="30">
        <f t="shared" si="32"/>
        <v>0.44087062907344865</v>
      </c>
      <c r="H52" s="30">
        <f t="shared" ref="H52:N52" si="53">IFERROR(H17/$B52,0)</f>
        <v>0.44088540967140544</v>
      </c>
      <c r="I52" s="30">
        <f t="shared" si="53"/>
        <v>1.9379828699915602</v>
      </c>
      <c r="J52" s="30">
        <f t="shared" si="53"/>
        <v>0.69583361207412098</v>
      </c>
      <c r="K52" s="30">
        <f t="shared" si="53"/>
        <v>0.47075719401551563</v>
      </c>
      <c r="L52" s="30">
        <f t="shared" si="53"/>
        <v>1.9643637886406597</v>
      </c>
      <c r="M52" s="30">
        <f t="shared" si="53"/>
        <v>0.10298069909992295</v>
      </c>
      <c r="N52" s="30">
        <f t="shared" si="53"/>
        <v>171.90995813533382</v>
      </c>
      <c r="O52" s="30">
        <f t="shared" si="50"/>
        <v>0.10291904661924929</v>
      </c>
    </row>
    <row r="53" spans="1:15" x14ac:dyDescent="0.25">
      <c r="A53" s="29" t="s">
        <v>309</v>
      </c>
      <c r="B53" s="24">
        <v>2.0000000000000001E-4</v>
      </c>
      <c r="C53" s="109"/>
      <c r="D53" s="30">
        <f>IFERROR(D5/$B53,0)</f>
        <v>0</v>
      </c>
      <c r="E53" s="30">
        <f>IFERROR(E5/$B53,0)</f>
        <v>0</v>
      </c>
      <c r="F53" s="30">
        <f>IFERROR(F5/$B53,0)</f>
        <v>88680483.435848668</v>
      </c>
      <c r="G53" s="30">
        <f t="shared" si="32"/>
        <v>88680483.435848668</v>
      </c>
      <c r="H53" s="30">
        <f t="shared" ref="H53:N53" si="54">IFERROR(H5/$B53,0)</f>
        <v>88680483.435848668</v>
      </c>
      <c r="I53" s="30">
        <f t="shared" si="54"/>
        <v>290087884.29042929</v>
      </c>
      <c r="J53" s="30">
        <f t="shared" si="54"/>
        <v>131981720.12301739</v>
      </c>
      <c r="K53" s="30">
        <f t="shared" si="54"/>
        <v>95159422.864951774</v>
      </c>
      <c r="L53" s="30">
        <f t="shared" si="54"/>
        <v>121870839.80949967</v>
      </c>
      <c r="M53" s="30">
        <f t="shared" si="54"/>
        <v>0</v>
      </c>
      <c r="N53" s="30">
        <f t="shared" si="54"/>
        <v>28418064010.124237</v>
      </c>
      <c r="O53" s="30">
        <f t="shared" si="50"/>
        <v>28418064010.124237</v>
      </c>
    </row>
    <row r="54" spans="1:15" x14ac:dyDescent="0.25">
      <c r="A54" s="29" t="s">
        <v>310</v>
      </c>
      <c r="B54" s="24">
        <v>0.99999979999999999</v>
      </c>
      <c r="C54" s="109"/>
      <c r="D54" s="30">
        <f>IFERROR(D9/$B54,0)</f>
        <v>21730.277332609861</v>
      </c>
      <c r="E54" s="30">
        <f>IFERROR(E9/$B54,0)</f>
        <v>175966.95733985538</v>
      </c>
      <c r="F54" s="30">
        <f>IFERROR(F9/$B54,0)</f>
        <v>5.9637284571914771E-2</v>
      </c>
      <c r="G54" s="30">
        <f t="shared" si="32"/>
        <v>5.9637100690183811E-2</v>
      </c>
      <c r="H54" s="30">
        <f t="shared" ref="H54:N54" si="55">IFERROR(H9/$B54,0)</f>
        <v>5.9637284571914771E-2</v>
      </c>
      <c r="I54" s="30">
        <f t="shared" si="55"/>
        <v>0.33020996475118303</v>
      </c>
      <c r="J54" s="30">
        <f t="shared" si="55"/>
        <v>0.11492601714379412</v>
      </c>
      <c r="K54" s="30">
        <f t="shared" si="55"/>
        <v>7.1315307976681369E-2</v>
      </c>
      <c r="L54" s="30">
        <f t="shared" si="55"/>
        <v>0.34101683632485813</v>
      </c>
      <c r="M54" s="30">
        <f t="shared" si="55"/>
        <v>0.12944986407767506</v>
      </c>
      <c r="N54" s="30">
        <f t="shared" si="55"/>
        <v>26.186284115695916</v>
      </c>
      <c r="O54" s="30">
        <f t="shared" si="50"/>
        <v>0.12881308657708898</v>
      </c>
    </row>
    <row r="55" spans="1:15" x14ac:dyDescent="0.25">
      <c r="A55" s="29" t="s">
        <v>311</v>
      </c>
      <c r="B55" s="24">
        <v>1.9999999999999999E-7</v>
      </c>
      <c r="C55" s="109"/>
      <c r="D55" s="30">
        <f>IFERROR(D24/$B55,0)</f>
        <v>0</v>
      </c>
      <c r="E55" s="30">
        <f>IFERROR(E24/$B55,0)</f>
        <v>0</v>
      </c>
      <c r="F55" s="30">
        <f>IFERROR(F24/$B55,0)</f>
        <v>646755939.54075885</v>
      </c>
      <c r="G55" s="30">
        <f t="shared" si="32"/>
        <v>646755939.54075885</v>
      </c>
      <c r="H55" s="30">
        <f t="shared" ref="H55:N55" si="56">IFERROR(H24/$B55,0)</f>
        <v>646755939.54075885</v>
      </c>
      <c r="I55" s="30">
        <f t="shared" si="56"/>
        <v>3142748365.7308979</v>
      </c>
      <c r="J55" s="30">
        <f t="shared" si="56"/>
        <v>1116423943.2548809</v>
      </c>
      <c r="K55" s="30">
        <f t="shared" si="56"/>
        <v>721381624.87238455</v>
      </c>
      <c r="L55" s="30">
        <f t="shared" si="56"/>
        <v>3217139321.900857</v>
      </c>
      <c r="M55" s="30">
        <f t="shared" si="56"/>
        <v>0</v>
      </c>
      <c r="N55" s="30">
        <f t="shared" si="56"/>
        <v>274812047570.43219</v>
      </c>
      <c r="O55" s="30">
        <f t="shared" si="50"/>
        <v>274812047570.43219</v>
      </c>
    </row>
    <row r="56" spans="1:15" x14ac:dyDescent="0.25">
      <c r="A56" s="29" t="s">
        <v>312</v>
      </c>
      <c r="B56" s="24">
        <v>0.99979000004200003</v>
      </c>
      <c r="C56" s="109"/>
      <c r="D56" s="30">
        <f>IFERROR(D20/$B56,0)</f>
        <v>0</v>
      </c>
      <c r="E56" s="30">
        <f>IFERROR(E20/$B56,0)</f>
        <v>0</v>
      </c>
      <c r="F56" s="30">
        <f>IFERROR(F20/$B56,0)</f>
        <v>1136.9613222348867</v>
      </c>
      <c r="G56" s="30">
        <f t="shared" si="32"/>
        <v>1136.9613222348867</v>
      </c>
      <c r="H56" s="30">
        <f t="shared" ref="H56:N56" si="57">IFERROR(H20/$B56,0)</f>
        <v>1136.9613222348867</v>
      </c>
      <c r="I56" s="30">
        <f t="shared" si="57"/>
        <v>5747.506684091798</v>
      </c>
      <c r="J56" s="30">
        <f t="shared" si="57"/>
        <v>2039.1154148777855</v>
      </c>
      <c r="K56" s="30">
        <f t="shared" si="57"/>
        <v>1298.2603333477946</v>
      </c>
      <c r="L56" s="30">
        <f t="shared" si="57"/>
        <v>5899.3276153696943</v>
      </c>
      <c r="M56" s="30">
        <f t="shared" si="57"/>
        <v>0</v>
      </c>
      <c r="N56" s="30">
        <f t="shared" si="57"/>
        <v>490453.90370916674</v>
      </c>
      <c r="O56" s="30">
        <f t="shared" si="50"/>
        <v>490453.90370916674</v>
      </c>
    </row>
    <row r="57" spans="1:15" x14ac:dyDescent="0.25">
      <c r="A57" s="29" t="s">
        <v>313</v>
      </c>
      <c r="B57" s="24">
        <v>2.0999995799999999E-4</v>
      </c>
      <c r="C57" s="109"/>
      <c r="D57" s="30">
        <f>IFERROR(D29/$B57,0)</f>
        <v>0</v>
      </c>
      <c r="E57" s="30">
        <f>IFERROR(E29/$B57,0)</f>
        <v>0</v>
      </c>
      <c r="F57" s="30">
        <f>IFERROR(F29/$B57,0)</f>
        <v>155.32857969248198</v>
      </c>
      <c r="G57" s="30">
        <f t="shared" si="32"/>
        <v>155.32857969248198</v>
      </c>
      <c r="H57" s="30">
        <f t="shared" ref="H57:N57" si="58">IFERROR(H29/$B57,0)</f>
        <v>155.32857969248198</v>
      </c>
      <c r="I57" s="30">
        <f t="shared" si="58"/>
        <v>839.4166665712138</v>
      </c>
      <c r="J57" s="30">
        <f t="shared" si="58"/>
        <v>293.02471562722161</v>
      </c>
      <c r="K57" s="30">
        <f t="shared" si="58"/>
        <v>183.58465225730146</v>
      </c>
      <c r="L57" s="30">
        <f t="shared" si="58"/>
        <v>867.12556624443835</v>
      </c>
      <c r="M57" s="30">
        <f t="shared" si="58"/>
        <v>0</v>
      </c>
      <c r="N57" s="30">
        <f t="shared" si="58"/>
        <v>67406.742130699728</v>
      </c>
      <c r="O57" s="30">
        <f t="shared" si="50"/>
        <v>67406.742130699728</v>
      </c>
    </row>
    <row r="58" spans="1:15" x14ac:dyDescent="0.25">
      <c r="A58" s="29" t="s">
        <v>314</v>
      </c>
      <c r="B58" s="24">
        <v>1</v>
      </c>
      <c r="C58" s="109"/>
      <c r="D58" s="30">
        <f>IFERROR(D16/$B58,0)</f>
        <v>5.3386720053386716</v>
      </c>
      <c r="E58" s="30">
        <f>IFERROR(E16/$B58,0)</f>
        <v>685.11029979534248</v>
      </c>
      <c r="F58" s="30">
        <f>IFERROR(F16/$B58,0)</f>
        <v>295.36885427845669</v>
      </c>
      <c r="G58" s="30">
        <f t="shared" si="32"/>
        <v>5.2040585163984083</v>
      </c>
      <c r="H58" s="30">
        <f t="shared" ref="H58:N58" si="59">IFERROR(H16/$B58,0)</f>
        <v>295.36885427845669</v>
      </c>
      <c r="I58" s="30">
        <f t="shared" si="59"/>
        <v>459.70397663436273</v>
      </c>
      <c r="J58" s="30">
        <f t="shared" si="59"/>
        <v>298.66118227200633</v>
      </c>
      <c r="K58" s="30">
        <f t="shared" si="59"/>
        <v>295.36885427845669</v>
      </c>
      <c r="L58" s="30">
        <f t="shared" si="59"/>
        <v>255.1826156011156</v>
      </c>
      <c r="M58" s="30">
        <f t="shared" si="59"/>
        <v>5.0400050400050398E-4</v>
      </c>
      <c r="N58" s="30">
        <f t="shared" si="59"/>
        <v>44524.444502509206</v>
      </c>
      <c r="O58" s="30">
        <f t="shared" si="50"/>
        <v>5.0400049829540179E-4</v>
      </c>
    </row>
    <row r="59" spans="1:15" x14ac:dyDescent="0.25">
      <c r="A59" s="29" t="s">
        <v>315</v>
      </c>
      <c r="B59" s="24">
        <v>1</v>
      </c>
      <c r="C59" s="109"/>
      <c r="D59" s="30">
        <f>IFERROR(D7/$B59,0)</f>
        <v>856.30184640085633</v>
      </c>
      <c r="E59" s="30">
        <f>IFERROR(E7/$B59,0)</f>
        <v>23895.31045627658</v>
      </c>
      <c r="F59" s="30">
        <f>IFERROR(F7/$B59,0)</f>
        <v>158.27782486651475</v>
      </c>
      <c r="G59" s="30">
        <f t="shared" si="32"/>
        <v>132.84329824716289</v>
      </c>
      <c r="H59" s="30">
        <f t="shared" ref="H59:N59" si="60">IFERROR(H7/$B59,0)</f>
        <v>158.27782486651475</v>
      </c>
      <c r="I59" s="30">
        <f t="shared" si="60"/>
        <v>458.80436024173196</v>
      </c>
      <c r="J59" s="30">
        <f t="shared" si="60"/>
        <v>213.13548007593181</v>
      </c>
      <c r="K59" s="30">
        <f t="shared" si="60"/>
        <v>163.09497605810438</v>
      </c>
      <c r="L59" s="30">
        <f t="shared" si="60"/>
        <v>90.827710637685215</v>
      </c>
      <c r="M59" s="30">
        <f t="shared" si="60"/>
        <v>1.757855416392002E-2</v>
      </c>
      <c r="N59" s="30">
        <f t="shared" si="60"/>
        <v>33123.04149524415</v>
      </c>
      <c r="O59" s="30">
        <f t="shared" si="50"/>
        <v>1.7578544834903464E-2</v>
      </c>
    </row>
    <row r="60" spans="1:15" x14ac:dyDescent="0.25">
      <c r="A60" s="29" t="s">
        <v>316</v>
      </c>
      <c r="B60" s="33">
        <v>1.9000000000000001E-8</v>
      </c>
      <c r="C60" s="109"/>
      <c r="D60" s="30">
        <f>IFERROR(D12/$B60,0)</f>
        <v>0</v>
      </c>
      <c r="E60" s="30">
        <f>IFERROR(E12/$B60,0)</f>
        <v>0</v>
      </c>
      <c r="F60" s="30">
        <f>IFERROR(F12/$B60,0)</f>
        <v>47688589.49067378</v>
      </c>
      <c r="G60" s="30">
        <f t="shared" si="32"/>
        <v>47688589.49067378</v>
      </c>
      <c r="H60" s="30">
        <f t="shared" ref="H60:N60" si="61">IFERROR(H12/$B60,0)</f>
        <v>47688589.49067378</v>
      </c>
      <c r="I60" s="30">
        <f t="shared" si="61"/>
        <v>209854124.67197004</v>
      </c>
      <c r="J60" s="30">
        <f t="shared" si="61"/>
        <v>75240381.28482829</v>
      </c>
      <c r="K60" s="30">
        <f t="shared" si="61"/>
        <v>51015700.385371953</v>
      </c>
      <c r="L60" s="30">
        <f t="shared" si="61"/>
        <v>206301735.10072044</v>
      </c>
      <c r="M60" s="30">
        <f t="shared" si="61"/>
        <v>0</v>
      </c>
      <c r="N60" s="30">
        <f t="shared" si="61"/>
        <v>18581718634.483715</v>
      </c>
      <c r="O60" s="30">
        <f t="shared" si="50"/>
        <v>18581718634.483715</v>
      </c>
    </row>
    <row r="61" spans="1:15" x14ac:dyDescent="0.25">
      <c r="A61" s="29" t="s">
        <v>317</v>
      </c>
      <c r="B61" s="24">
        <v>1</v>
      </c>
      <c r="C61" s="109"/>
      <c r="D61" s="30">
        <f>IFERROR(D18/$B61,0)</f>
        <v>2.229033156868208</v>
      </c>
      <c r="E61" s="30">
        <f>IFERROR(E18/$B61,0)</f>
        <v>749.77632299031086</v>
      </c>
      <c r="F61" s="30">
        <f>IFERROR(F18/$B61,0)</f>
        <v>9718.0944283326426</v>
      </c>
      <c r="G61" s="30">
        <f t="shared" si="32"/>
        <v>2.2219179086823915</v>
      </c>
      <c r="H61" s="30">
        <f t="shared" ref="H61:N61" si="62">IFERROR(H18/$B61,0)</f>
        <v>9718.0944283326426</v>
      </c>
      <c r="I61" s="30">
        <f t="shared" si="62"/>
        <v>48945.517345203545</v>
      </c>
      <c r="J61" s="30">
        <f t="shared" si="62"/>
        <v>17238.899123788604</v>
      </c>
      <c r="K61" s="30">
        <f t="shared" si="62"/>
        <v>11065.440853499706</v>
      </c>
      <c r="L61" s="30">
        <f t="shared" si="62"/>
        <v>50351.469118609391</v>
      </c>
      <c r="M61" s="30">
        <f t="shared" si="62"/>
        <v>5.5157198014340865E-4</v>
      </c>
      <c r="N61" s="30">
        <f t="shared" si="62"/>
        <v>4191267.5411579888</v>
      </c>
      <c r="O61" s="30">
        <f t="shared" si="50"/>
        <v>5.5157198007082164E-4</v>
      </c>
    </row>
    <row r="62" spans="1:15" x14ac:dyDescent="0.25">
      <c r="A62" s="29" t="s">
        <v>318</v>
      </c>
      <c r="B62" s="24">
        <v>1.339E-6</v>
      </c>
      <c r="C62" s="109"/>
      <c r="D62" s="30">
        <f>IFERROR(D27/$B62,0)</f>
        <v>0</v>
      </c>
      <c r="E62" s="30">
        <f>IFERROR(E27/$B62,0)</f>
        <v>0</v>
      </c>
      <c r="F62" s="30">
        <f>IFERROR(F27/$B62,0)</f>
        <v>53565622.147980079</v>
      </c>
      <c r="G62" s="30">
        <f t="shared" ref="G62" si="63">IFERROR(SUM(D62:F62),0)</f>
        <v>53565622.147980079</v>
      </c>
      <c r="H62" s="30">
        <f t="shared" ref="H62:N62" si="64">IFERROR(H27/$B62,0)</f>
        <v>53565622.147980079</v>
      </c>
      <c r="I62" s="30">
        <f t="shared" si="64"/>
        <v>157741105.76235124</v>
      </c>
      <c r="J62" s="30">
        <f t="shared" si="64"/>
        <v>74191791.269580454</v>
      </c>
      <c r="K62" s="30">
        <f t="shared" si="64"/>
        <v>55806415.10636171</v>
      </c>
      <c r="L62" s="30">
        <f t="shared" si="64"/>
        <v>38167330.222607046</v>
      </c>
      <c r="M62" s="30">
        <f t="shared" si="64"/>
        <v>0</v>
      </c>
      <c r="N62" s="30">
        <f t="shared" si="64"/>
        <v>13920407643.922272</v>
      </c>
      <c r="O62" s="30">
        <f t="shared" si="50"/>
        <v>13920407643.922272</v>
      </c>
    </row>
    <row r="63" spans="1:15" x14ac:dyDescent="0.25">
      <c r="A63" s="26" t="s">
        <v>35</v>
      </c>
      <c r="B63" s="26" t="s">
        <v>289</v>
      </c>
      <c r="C63" s="110"/>
      <c r="D63" s="27">
        <f>1/SUM(1/D66,1/D68,1/D72,1/D73,1/D75)</f>
        <v>1.5693161531695978</v>
      </c>
      <c r="E63" s="27">
        <f>1/SUM(1/E64,1/E65,1/E66,1/E68,1/E72,1/E73,1/E75)</f>
        <v>350.93708702434907</v>
      </c>
      <c r="F63" s="27">
        <f>1/SUM(1/F64,1/F65,1/F66,1/F67,1/F68,1/F69,1/F70,1/F71,1/F72,1/F73,1/F74,1/F75,1/F76)</f>
        <v>5.2473643443911464E-2</v>
      </c>
      <c r="G63" s="28">
        <f>1/SUM(1/G64,1/G65,1/G66,1/G67,1/G68,1/G69,1/G70,1/G71,1/G72,1/G73,1/G74,1/G75,1/G76)</f>
        <v>5.0768492665853253E-2</v>
      </c>
      <c r="H63" s="27">
        <f t="shared" ref="H63:O63" si="65">1/SUM(1/H64,1/H65,1/H66,1/H67,1/H68,1/H69,1/H70,1/H71,1/H72,1/H73,1/H74,1/H75,1/H76)</f>
        <v>5.2473643443911464E-2</v>
      </c>
      <c r="I63" s="27">
        <f t="shared" si="65"/>
        <v>0.28161621066882614</v>
      </c>
      <c r="J63" s="27">
        <f t="shared" si="65"/>
        <v>9.8496205293934908E-2</v>
      </c>
      <c r="K63" s="27">
        <f t="shared" si="65"/>
        <v>6.1858925523242042E-2</v>
      </c>
      <c r="L63" s="27">
        <f t="shared" si="65"/>
        <v>0.28913865939494754</v>
      </c>
      <c r="M63" s="27">
        <f>1/SUM(1/M64,1/M65,1/M66,1/M68,1/M72,1/M73,1/M75)</f>
        <v>2.581664131827771E-4</v>
      </c>
      <c r="N63" s="27">
        <f t="shared" si="65"/>
        <v>22.68398947821434</v>
      </c>
      <c r="O63" s="28">
        <f t="shared" si="65"/>
        <v>2.5816347502507668E-4</v>
      </c>
    </row>
    <row r="64" spans="1:15" x14ac:dyDescent="0.25">
      <c r="A64" s="29" t="s">
        <v>306</v>
      </c>
      <c r="B64" s="34">
        <v>1</v>
      </c>
      <c r="C64" s="2"/>
      <c r="D64" s="30">
        <f>IFERROR(D25/$B50,0)</f>
        <v>0</v>
      </c>
      <c r="E64" s="30">
        <f>IFERROR(E25/$B50,0)</f>
        <v>4769629.7318646796</v>
      </c>
      <c r="F64" s="30">
        <f>IFERROR(F25/$B50,0)</f>
        <v>258.70237581630352</v>
      </c>
      <c r="G64" s="30">
        <f t="shared" ref="G64:G76" si="66">IF(AND(D64&lt;&gt;0,E64&lt;&gt;0,F64&lt;&gt;0),1/((1/D64)+(1/E64)+(1/F64)),IF(AND(D64&lt;&gt;0,E64&lt;&gt;0,F64=0), 1/((1/D64)+(1/E64)),IF(AND(D64&lt;&gt;0,E64=0,F64&lt;&gt;0),1/((1/D64)+(1/F64)),IF(AND(D64=0,E64&lt;&gt;0,F64&lt;&gt;0),1/((1/E64)+(1/F64)),IF(AND(D64&lt;&gt;0,E64=0,F64=0),1/((1/D64)),IF(AND(D64=0,E64&lt;&gt;0,F64=0),1/((1/E64)),IF(AND(D64=0,E64=0,F64&lt;&gt;0),1/((1/F64)),IF(AND(D64=0,E64=0,F64=0),0))))))))</f>
        <v>258.68834468744677</v>
      </c>
      <c r="H64" s="30">
        <f t="shared" ref="H64:N64" si="67">IFERROR(H25/$B50,0)</f>
        <v>258.70237581630352</v>
      </c>
      <c r="I64" s="30">
        <f t="shared" si="67"/>
        <v>1227.4818224268322</v>
      </c>
      <c r="J64" s="30">
        <f t="shared" si="67"/>
        <v>434.97036750190171</v>
      </c>
      <c r="K64" s="30">
        <f t="shared" si="67"/>
        <v>284.18064010124243</v>
      </c>
      <c r="L64" s="30">
        <f t="shared" si="67"/>
        <v>1250.3948164454669</v>
      </c>
      <c r="M64" s="30">
        <f t="shared" si="67"/>
        <v>3.5087719298245617</v>
      </c>
      <c r="N64" s="30">
        <f t="shared" si="67"/>
        <v>107947.75393773813</v>
      </c>
      <c r="O64" s="30">
        <f t="shared" ref="O64:O76" si="68">IFERROR(IF(AND(M64&lt;&gt;0,N64&lt;&gt;0),1/((1/M64)+(1/N64)),IF(AND(M64&lt;&gt;0,N64=0),1/((1/M64)),IF(AND(M64=0,N64&lt;&gt;0),1/((1/N64)),IF(AND(M64=0,N64=0),0)))),0)</f>
        <v>3.5086578831691866</v>
      </c>
    </row>
    <row r="65" spans="1:15" x14ac:dyDescent="0.25">
      <c r="A65" s="29" t="s">
        <v>307</v>
      </c>
      <c r="B65" s="34">
        <v>1</v>
      </c>
      <c r="C65" s="2"/>
      <c r="D65" s="30">
        <f>IFERROR(D21/$B51,0)</f>
        <v>0</v>
      </c>
      <c r="E65" s="30">
        <f>IFERROR(E21/$B51,0)</f>
        <v>782356.53155765973</v>
      </c>
      <c r="F65" s="30">
        <f>IFERROR(F21/$B51,0)</f>
        <v>71125985.008274555</v>
      </c>
      <c r="G65" s="30">
        <f t="shared" si="66"/>
        <v>773844.56021519902</v>
      </c>
      <c r="H65" s="30">
        <f t="shared" ref="H65:N65" si="69">IFERROR(H21/$B51,0)</f>
        <v>71125985.008274555</v>
      </c>
      <c r="I65" s="30">
        <f t="shared" si="69"/>
        <v>154141372.83597958</v>
      </c>
      <c r="J65" s="30">
        <f t="shared" si="69"/>
        <v>81405912.529001728</v>
      </c>
      <c r="K65" s="30">
        <f t="shared" si="69"/>
        <v>71369567.148713857</v>
      </c>
      <c r="L65" s="30">
        <f t="shared" si="69"/>
        <v>91805786.816847786</v>
      </c>
      <c r="M65" s="30">
        <f t="shared" si="69"/>
        <v>0.57553956834532372</v>
      </c>
      <c r="N65" s="30">
        <f t="shared" si="69"/>
        <v>4439271537.6762133</v>
      </c>
      <c r="O65" s="30">
        <f t="shared" si="68"/>
        <v>0.57553956827070651</v>
      </c>
    </row>
    <row r="66" spans="1:15" x14ac:dyDescent="0.25">
      <c r="A66" s="29" t="s">
        <v>308</v>
      </c>
      <c r="B66" s="35">
        <v>0.99980000000000002</v>
      </c>
      <c r="C66" s="2"/>
      <c r="D66" s="30">
        <f>IFERROR(D17/$B52,0)</f>
        <v>14514.058262405244</v>
      </c>
      <c r="E66" s="30">
        <f>IFERROR(E17/$B52,0)</f>
        <v>139986.24420703278</v>
      </c>
      <c r="F66" s="30">
        <f>IFERROR(F17/$B52,0)</f>
        <v>0.44088540967140544</v>
      </c>
      <c r="G66" s="30">
        <f t="shared" si="66"/>
        <v>0.44087062907344865</v>
      </c>
      <c r="H66" s="30">
        <f t="shared" ref="H66:N66" si="70">IFERROR(H17/$B52,0)</f>
        <v>0.44088540967140544</v>
      </c>
      <c r="I66" s="30">
        <f t="shared" si="70"/>
        <v>1.9379828699915602</v>
      </c>
      <c r="J66" s="30">
        <f t="shared" si="70"/>
        <v>0.69583361207412098</v>
      </c>
      <c r="K66" s="30">
        <f t="shared" si="70"/>
        <v>0.47075719401551563</v>
      </c>
      <c r="L66" s="30">
        <f t="shared" si="70"/>
        <v>1.9643637886406597</v>
      </c>
      <c r="M66" s="30">
        <f t="shared" si="70"/>
        <v>0.10298069909992295</v>
      </c>
      <c r="N66" s="30">
        <f t="shared" si="70"/>
        <v>171.90995813533382</v>
      </c>
      <c r="O66" s="30">
        <f t="shared" si="68"/>
        <v>0.10291904661924929</v>
      </c>
    </row>
    <row r="67" spans="1:15" x14ac:dyDescent="0.25">
      <c r="A67" s="29" t="s">
        <v>309</v>
      </c>
      <c r="B67" s="34">
        <v>2.0000000000000001E-4</v>
      </c>
      <c r="C67" s="2"/>
      <c r="D67" s="30">
        <f>IFERROR(D5/$B53,0)</f>
        <v>0</v>
      </c>
      <c r="E67" s="30">
        <f>IFERROR(E5/$B53,0)</f>
        <v>0</v>
      </c>
      <c r="F67" s="30">
        <f>IFERROR(F5/$B53,0)</f>
        <v>88680483.435848668</v>
      </c>
      <c r="G67" s="30">
        <f t="shared" si="66"/>
        <v>88680483.435848668</v>
      </c>
      <c r="H67" s="30">
        <f t="shared" ref="H67:N67" si="71">IFERROR(H5/$B53,0)</f>
        <v>88680483.435848668</v>
      </c>
      <c r="I67" s="30">
        <f t="shared" si="71"/>
        <v>290087884.29042929</v>
      </c>
      <c r="J67" s="30">
        <f t="shared" si="71"/>
        <v>131981720.12301739</v>
      </c>
      <c r="K67" s="30">
        <f t="shared" si="71"/>
        <v>95159422.864951774</v>
      </c>
      <c r="L67" s="30">
        <f t="shared" si="71"/>
        <v>121870839.80949967</v>
      </c>
      <c r="M67" s="30">
        <f t="shared" si="71"/>
        <v>0</v>
      </c>
      <c r="N67" s="30">
        <f t="shared" si="71"/>
        <v>28418064010.124237</v>
      </c>
      <c r="O67" s="30">
        <f t="shared" si="68"/>
        <v>28418064010.124237</v>
      </c>
    </row>
    <row r="68" spans="1:15" x14ac:dyDescent="0.25">
      <c r="A68" s="29" t="s">
        <v>310</v>
      </c>
      <c r="B68" s="34">
        <v>0.99999979999999999</v>
      </c>
      <c r="C68" s="2"/>
      <c r="D68" s="30">
        <f>IFERROR(D9/$B54,0)</f>
        <v>21730.277332609861</v>
      </c>
      <c r="E68" s="30">
        <f>IFERROR(E9/$B54,0)</f>
        <v>175966.95733985538</v>
      </c>
      <c r="F68" s="30">
        <f>IFERROR(F9/$B54,0)</f>
        <v>5.9637284571914771E-2</v>
      </c>
      <c r="G68" s="30">
        <f t="shared" si="66"/>
        <v>5.9637100690183811E-2</v>
      </c>
      <c r="H68" s="30">
        <f t="shared" ref="H68:N68" si="72">IFERROR(H9/$B54,0)</f>
        <v>5.9637284571914771E-2</v>
      </c>
      <c r="I68" s="30">
        <f t="shared" si="72"/>
        <v>0.33020996475118303</v>
      </c>
      <c r="J68" s="30">
        <f t="shared" si="72"/>
        <v>0.11492601714379412</v>
      </c>
      <c r="K68" s="30">
        <f t="shared" si="72"/>
        <v>7.1315307976681369E-2</v>
      </c>
      <c r="L68" s="30">
        <f t="shared" si="72"/>
        <v>0.34101683632485813</v>
      </c>
      <c r="M68" s="30">
        <f t="shared" si="72"/>
        <v>0.12944986407767506</v>
      </c>
      <c r="N68" s="30">
        <f t="shared" si="72"/>
        <v>26.186284115695916</v>
      </c>
      <c r="O68" s="30">
        <f t="shared" si="68"/>
        <v>0.12881308657708898</v>
      </c>
    </row>
    <row r="69" spans="1:15" x14ac:dyDescent="0.25">
      <c r="A69" s="29" t="s">
        <v>311</v>
      </c>
      <c r="B69" s="34">
        <v>1.9999999999999999E-7</v>
      </c>
      <c r="C69" s="2"/>
      <c r="D69" s="30">
        <f>IFERROR(D24/$B55,0)</f>
        <v>0</v>
      </c>
      <c r="E69" s="30">
        <f>IFERROR(E24/$B55,0)</f>
        <v>0</v>
      </c>
      <c r="F69" s="30">
        <f>IFERROR(F24/$B55,0)</f>
        <v>646755939.54075885</v>
      </c>
      <c r="G69" s="30">
        <f t="shared" si="66"/>
        <v>646755939.54075885</v>
      </c>
      <c r="H69" s="30">
        <f t="shared" ref="H69:N69" si="73">IFERROR(H24/$B55,0)</f>
        <v>646755939.54075885</v>
      </c>
      <c r="I69" s="30">
        <f t="shared" si="73"/>
        <v>3142748365.7308979</v>
      </c>
      <c r="J69" s="30">
        <f t="shared" si="73"/>
        <v>1116423943.2548809</v>
      </c>
      <c r="K69" s="30">
        <f t="shared" si="73"/>
        <v>721381624.87238455</v>
      </c>
      <c r="L69" s="30">
        <f t="shared" si="73"/>
        <v>3217139321.900857</v>
      </c>
      <c r="M69" s="30">
        <f t="shared" si="73"/>
        <v>0</v>
      </c>
      <c r="N69" s="30">
        <f t="shared" si="73"/>
        <v>274812047570.43219</v>
      </c>
      <c r="O69" s="30">
        <f t="shared" si="68"/>
        <v>274812047570.43219</v>
      </c>
    </row>
    <row r="70" spans="1:15" x14ac:dyDescent="0.25">
      <c r="A70" s="29" t="s">
        <v>312</v>
      </c>
      <c r="B70" s="34">
        <v>0.99979000004200003</v>
      </c>
      <c r="C70" s="2"/>
      <c r="D70" s="30">
        <f>IFERROR(D20/$B56,0)</f>
        <v>0</v>
      </c>
      <c r="E70" s="30">
        <f>IFERROR(E20/$B56,0)</f>
        <v>0</v>
      </c>
      <c r="F70" s="30">
        <f>IFERROR(F20/$B56,0)</f>
        <v>1136.9613222348867</v>
      </c>
      <c r="G70" s="30">
        <f t="shared" si="66"/>
        <v>1136.9613222348867</v>
      </c>
      <c r="H70" s="30">
        <f t="shared" ref="H70:N70" si="74">IFERROR(H20/$B56,0)</f>
        <v>1136.9613222348867</v>
      </c>
      <c r="I70" s="30">
        <f t="shared" si="74"/>
        <v>5747.506684091798</v>
      </c>
      <c r="J70" s="30">
        <f t="shared" si="74"/>
        <v>2039.1154148777855</v>
      </c>
      <c r="K70" s="30">
        <f t="shared" si="74"/>
        <v>1298.2603333477946</v>
      </c>
      <c r="L70" s="30">
        <f t="shared" si="74"/>
        <v>5899.3276153696943</v>
      </c>
      <c r="M70" s="30">
        <f t="shared" si="74"/>
        <v>0</v>
      </c>
      <c r="N70" s="30">
        <f t="shared" si="74"/>
        <v>490453.90370916674</v>
      </c>
      <c r="O70" s="30">
        <f t="shared" si="68"/>
        <v>490453.90370916674</v>
      </c>
    </row>
    <row r="71" spans="1:15" x14ac:dyDescent="0.25">
      <c r="A71" s="29" t="s">
        <v>313</v>
      </c>
      <c r="B71" s="34">
        <v>2.0999995799999999E-4</v>
      </c>
      <c r="C71" s="2"/>
      <c r="D71" s="30">
        <f>IFERROR(D29/$B57,0)</f>
        <v>0</v>
      </c>
      <c r="E71" s="30">
        <f>IFERROR(E29/$B57,0)</f>
        <v>0</v>
      </c>
      <c r="F71" s="30">
        <f>IFERROR(F29/$B57,0)</f>
        <v>155.32857969248198</v>
      </c>
      <c r="G71" s="30">
        <f t="shared" si="66"/>
        <v>155.32857969248198</v>
      </c>
      <c r="H71" s="30">
        <f t="shared" ref="H71:N71" si="75">IFERROR(H29/$B57,0)</f>
        <v>155.32857969248198</v>
      </c>
      <c r="I71" s="30">
        <f t="shared" si="75"/>
        <v>839.4166665712138</v>
      </c>
      <c r="J71" s="30">
        <f t="shared" si="75"/>
        <v>293.02471562722161</v>
      </c>
      <c r="K71" s="30">
        <f t="shared" si="75"/>
        <v>183.58465225730146</v>
      </c>
      <c r="L71" s="30">
        <f t="shared" si="75"/>
        <v>867.12556624443835</v>
      </c>
      <c r="M71" s="30">
        <f t="shared" si="75"/>
        <v>0</v>
      </c>
      <c r="N71" s="30">
        <f t="shared" si="75"/>
        <v>67406.742130699728</v>
      </c>
      <c r="O71" s="30">
        <f t="shared" si="68"/>
        <v>67406.742130699728</v>
      </c>
    </row>
    <row r="72" spans="1:15" x14ac:dyDescent="0.25">
      <c r="A72" s="29" t="s">
        <v>314</v>
      </c>
      <c r="B72" s="34">
        <v>1</v>
      </c>
      <c r="C72" s="2"/>
      <c r="D72" s="30">
        <f>IFERROR(D16/$B58,0)</f>
        <v>5.3386720053386716</v>
      </c>
      <c r="E72" s="30">
        <f>IFERROR(E16/$B58,0)</f>
        <v>685.11029979534248</v>
      </c>
      <c r="F72" s="30">
        <f>IFERROR(F16/$B58,0)</f>
        <v>295.36885427845669</v>
      </c>
      <c r="G72" s="30">
        <f t="shared" si="66"/>
        <v>5.2040585163984083</v>
      </c>
      <c r="H72" s="30">
        <f t="shared" ref="H72:N72" si="76">IFERROR(H16/$B58,0)</f>
        <v>295.36885427845669</v>
      </c>
      <c r="I72" s="30">
        <f t="shared" si="76"/>
        <v>459.70397663436273</v>
      </c>
      <c r="J72" s="30">
        <f t="shared" si="76"/>
        <v>298.66118227200633</v>
      </c>
      <c r="K72" s="30">
        <f t="shared" si="76"/>
        <v>295.36885427845669</v>
      </c>
      <c r="L72" s="30">
        <f t="shared" si="76"/>
        <v>255.1826156011156</v>
      </c>
      <c r="M72" s="30">
        <f t="shared" si="76"/>
        <v>5.0400050400050398E-4</v>
      </c>
      <c r="N72" s="30">
        <f t="shared" si="76"/>
        <v>44524.444502509206</v>
      </c>
      <c r="O72" s="30">
        <f t="shared" si="68"/>
        <v>5.0400049829540179E-4</v>
      </c>
    </row>
    <row r="73" spans="1:15" x14ac:dyDescent="0.25">
      <c r="A73" s="29" t="s">
        <v>315</v>
      </c>
      <c r="B73" s="34">
        <v>1</v>
      </c>
      <c r="C73" s="2"/>
      <c r="D73" s="30">
        <f>IFERROR(D7/$B59,0)</f>
        <v>856.30184640085633</v>
      </c>
      <c r="E73" s="30">
        <f>IFERROR(E7/$B59,0)</f>
        <v>23895.31045627658</v>
      </c>
      <c r="F73" s="30">
        <f>IFERROR(F7/$B59,0)</f>
        <v>158.27782486651475</v>
      </c>
      <c r="G73" s="30">
        <f t="shared" si="66"/>
        <v>132.84329824716289</v>
      </c>
      <c r="H73" s="30">
        <f t="shared" ref="H73:N73" si="77">IFERROR(H7/$B59,0)</f>
        <v>158.27782486651475</v>
      </c>
      <c r="I73" s="30">
        <f t="shared" si="77"/>
        <v>458.80436024173196</v>
      </c>
      <c r="J73" s="30">
        <f t="shared" si="77"/>
        <v>213.13548007593181</v>
      </c>
      <c r="K73" s="30">
        <f t="shared" si="77"/>
        <v>163.09497605810438</v>
      </c>
      <c r="L73" s="30">
        <f t="shared" si="77"/>
        <v>90.827710637685215</v>
      </c>
      <c r="M73" s="30">
        <f t="shared" si="77"/>
        <v>1.757855416392002E-2</v>
      </c>
      <c r="N73" s="30">
        <f t="shared" si="77"/>
        <v>33123.04149524415</v>
      </c>
      <c r="O73" s="30">
        <f t="shared" si="68"/>
        <v>1.7578544834903464E-2</v>
      </c>
    </row>
    <row r="74" spans="1:15" x14ac:dyDescent="0.25">
      <c r="A74" s="29" t="s">
        <v>316</v>
      </c>
      <c r="B74" s="36">
        <v>1.9000000000000001E-8</v>
      </c>
      <c r="C74" s="2"/>
      <c r="D74" s="30">
        <f>IFERROR(D12/$B60,0)</f>
        <v>0</v>
      </c>
      <c r="E74" s="30">
        <f>IFERROR(E12/$B60,0)</f>
        <v>0</v>
      </c>
      <c r="F74" s="30">
        <f>IFERROR(F12/$B60,0)</f>
        <v>47688589.49067378</v>
      </c>
      <c r="G74" s="30">
        <f t="shared" si="66"/>
        <v>47688589.49067378</v>
      </c>
      <c r="H74" s="30">
        <f t="shared" ref="H74:N74" si="78">IFERROR(H12/$B60,0)</f>
        <v>47688589.49067378</v>
      </c>
      <c r="I74" s="30">
        <f t="shared" si="78"/>
        <v>209854124.67197004</v>
      </c>
      <c r="J74" s="30">
        <f t="shared" si="78"/>
        <v>75240381.28482829</v>
      </c>
      <c r="K74" s="30">
        <f t="shared" si="78"/>
        <v>51015700.385371953</v>
      </c>
      <c r="L74" s="30">
        <f t="shared" si="78"/>
        <v>206301735.10072044</v>
      </c>
      <c r="M74" s="30">
        <f t="shared" si="78"/>
        <v>0</v>
      </c>
      <c r="N74" s="30">
        <f t="shared" si="78"/>
        <v>18581718634.483715</v>
      </c>
      <c r="O74" s="30">
        <f t="shared" si="68"/>
        <v>18581718634.483715</v>
      </c>
    </row>
    <row r="75" spans="1:15" x14ac:dyDescent="0.25">
      <c r="A75" s="29" t="s">
        <v>317</v>
      </c>
      <c r="B75" s="34">
        <v>1</v>
      </c>
      <c r="C75" s="2"/>
      <c r="D75" s="30">
        <f>IFERROR(D18/$B61,0)</f>
        <v>2.229033156868208</v>
      </c>
      <c r="E75" s="30">
        <f>IFERROR(E18/$B61,0)</f>
        <v>749.77632299031086</v>
      </c>
      <c r="F75" s="30">
        <f>IFERROR(F18/$B61,0)</f>
        <v>9718.0944283326426</v>
      </c>
      <c r="G75" s="30">
        <f t="shared" si="66"/>
        <v>2.2219179086823915</v>
      </c>
      <c r="H75" s="30">
        <f t="shared" ref="H75:N75" si="79">IFERROR(H18/$B61,0)</f>
        <v>9718.0944283326426</v>
      </c>
      <c r="I75" s="30">
        <f t="shared" si="79"/>
        <v>48945.517345203545</v>
      </c>
      <c r="J75" s="30">
        <f t="shared" si="79"/>
        <v>17238.899123788604</v>
      </c>
      <c r="K75" s="30">
        <f t="shared" si="79"/>
        <v>11065.440853499706</v>
      </c>
      <c r="L75" s="30">
        <f t="shared" si="79"/>
        <v>50351.469118609391</v>
      </c>
      <c r="M75" s="30">
        <f t="shared" si="79"/>
        <v>5.5157198014340865E-4</v>
      </c>
      <c r="N75" s="30">
        <f t="shared" si="79"/>
        <v>4191267.5411579888</v>
      </c>
      <c r="O75" s="30">
        <f t="shared" si="68"/>
        <v>5.5157198007082164E-4</v>
      </c>
    </row>
    <row r="76" spans="1:15" x14ac:dyDescent="0.25">
      <c r="A76" s="29" t="s">
        <v>318</v>
      </c>
      <c r="B76" s="34">
        <v>1.339E-6</v>
      </c>
      <c r="C76" s="2"/>
      <c r="D76" s="30">
        <f>IFERROR(D27/$B62,0)</f>
        <v>0</v>
      </c>
      <c r="E76" s="30">
        <f>IFERROR(E27/$B62,0)</f>
        <v>0</v>
      </c>
      <c r="F76" s="30">
        <f>IFERROR(F27/$B62,0)</f>
        <v>53565622.147980079</v>
      </c>
      <c r="G76" s="30">
        <f t="shared" si="66"/>
        <v>53565622.147980079</v>
      </c>
      <c r="H76" s="30">
        <f t="shared" ref="H76:N76" si="80">IFERROR(H27/$B62,0)</f>
        <v>53565622.147980079</v>
      </c>
      <c r="I76" s="30">
        <f t="shared" si="80"/>
        <v>157741105.76235124</v>
      </c>
      <c r="J76" s="30">
        <f t="shared" si="80"/>
        <v>74191791.269580454</v>
      </c>
      <c r="K76" s="30">
        <f t="shared" si="80"/>
        <v>55806415.10636171</v>
      </c>
      <c r="L76" s="30">
        <f t="shared" si="80"/>
        <v>38167330.222607046</v>
      </c>
      <c r="M76" s="30">
        <f t="shared" si="80"/>
        <v>0</v>
      </c>
      <c r="N76" s="30">
        <f t="shared" si="80"/>
        <v>13920407643.922272</v>
      </c>
      <c r="O76" s="30">
        <f t="shared" si="68"/>
        <v>13920407643.922272</v>
      </c>
    </row>
    <row r="78" spans="1:15" x14ac:dyDescent="0.25">
      <c r="I78" s="1"/>
    </row>
  </sheetData>
  <sheetProtection algorithmName="SHA-512" hashValue="8ni9zN8rsbEciNKlXaWbwIZGHOLvDRa6O16BoBs7rlL9rOdexcmi7sNl+yX17Dbt8ObCxG1peN3GznqPYv3cuw==" saltValue="4UwK1Vfys2WbQRuvp+qCOg==" spinCount="100000" sheet="1" formatColumns="0" formatRows="0" autoFilter="0"/>
  <autoFilter ref="A1:O76" xr:uid="{00000000-0009-0000-0000-000005000000}"/>
  <pageMargins left="0.7" right="0.7" top="0.75" bottom="0.75" header="0.3" footer="0.3"/>
  <pageSetup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5">
    <tabColor theme="9" tint="-0.499984740745262"/>
  </sheetPr>
  <dimension ref="A1:O76"/>
  <sheetViews>
    <sheetView zoomScale="90" zoomScaleNormal="90" workbookViewId="0">
      <pane xSplit="2" ySplit="1" topLeftCell="C2" activePane="bottomRight" state="frozen"/>
      <selection activeCell="AA1390" sqref="AA1390"/>
      <selection pane="topRight" activeCell="AA1390" sqref="AA1390"/>
      <selection pane="bottomLeft" activeCell="AA1390" sqref="AA1390"/>
      <selection pane="bottomRight" activeCell="C2" sqref="C2"/>
    </sheetView>
  </sheetViews>
  <sheetFormatPr defaultColWidth="9.140625" defaultRowHeight="15" x14ac:dyDescent="0.25"/>
  <cols>
    <col min="1" max="1" width="15.42578125" style="3" customWidth="1"/>
    <col min="2" max="2" width="13.28515625" style="3" bestFit="1" customWidth="1"/>
    <col min="3" max="3" width="13.28515625" style="3" customWidth="1"/>
    <col min="4" max="4" width="14.42578125" style="2" bestFit="1" customWidth="1"/>
    <col min="5" max="5" width="14.5703125" style="2" bestFit="1" customWidth="1"/>
    <col min="6" max="6" width="14.28515625" style="2" bestFit="1" customWidth="1"/>
    <col min="7" max="7" width="14.140625" style="2" bestFit="1" customWidth="1"/>
    <col min="8" max="8" width="13.5703125" style="2" bestFit="1" customWidth="1"/>
    <col min="9" max="10" width="15.42578125" style="2" bestFit="1" customWidth="1"/>
    <col min="11" max="11" width="16.42578125" style="2" bestFit="1" customWidth="1"/>
    <col min="12" max="13" width="13.85546875" style="2" bestFit="1" customWidth="1"/>
    <col min="14" max="14" width="14.140625" style="2" bestFit="1" customWidth="1"/>
    <col min="15" max="15" width="13.28515625" style="2" bestFit="1" customWidth="1"/>
    <col min="16" max="20" width="8.5703125" style="2" bestFit="1" customWidth="1"/>
    <col min="21" max="23" width="9.140625" style="2"/>
    <col min="24" max="26" width="8.5703125" style="2" bestFit="1" customWidth="1"/>
    <col min="27" max="16384" width="9.140625" style="2"/>
  </cols>
  <sheetData>
    <row r="1" spans="1:15" x14ac:dyDescent="0.25">
      <c r="A1" s="21" t="s">
        <v>51</v>
      </c>
      <c r="B1" s="21" t="s">
        <v>274</v>
      </c>
      <c r="C1" s="108"/>
      <c r="D1" s="22" t="s">
        <v>341</v>
      </c>
      <c r="E1" s="22" t="s">
        <v>342</v>
      </c>
      <c r="F1" s="22" t="s">
        <v>343</v>
      </c>
      <c r="G1" s="22" t="s">
        <v>344</v>
      </c>
      <c r="H1" s="22" t="s">
        <v>345</v>
      </c>
      <c r="I1" s="22" t="s">
        <v>346</v>
      </c>
      <c r="J1" s="22" t="s">
        <v>347</v>
      </c>
      <c r="K1" s="22" t="s">
        <v>348</v>
      </c>
      <c r="L1" s="22" t="s">
        <v>349</v>
      </c>
      <c r="M1" s="22" t="s">
        <v>350</v>
      </c>
      <c r="N1" s="22" t="s">
        <v>351</v>
      </c>
      <c r="O1" s="22" t="s">
        <v>352</v>
      </c>
    </row>
    <row r="2" spans="1:15" ht="15" customHeight="1" x14ac:dyDescent="0.25">
      <c r="A2" s="23" t="s">
        <v>12</v>
      </c>
      <c r="B2" s="24" t="s">
        <v>289</v>
      </c>
      <c r="C2" s="2"/>
      <c r="D2" s="22">
        <f>IFERROR((TR/(RadSpec!I2*EF_ow*ED_out*IRS_ow*(1/1000)))*1,".")</f>
        <v>19.691822970511495</v>
      </c>
      <c r="E2" s="22">
        <f>IFERROR(IF(A2="H-3",(TR/(RadSpec!G2*EF_ow*ED_out*ET_ow_o*(1/24)*IRA_ow*(1/17)*1000))*1,(TR/(RadSpec!G2*EF_ow*ED_out*ET_ow_o*(1/24)*IRA_ow*(1/PEF_wind)*1000))*1),".")</f>
        <v>423.01715401871314</v>
      </c>
      <c r="F2" s="22">
        <f>IFERROR((TR/(RadSpec!F2*EF_ow*(1/365)*ED_out*RadSpec!Q2*ET_ow_o*(1/24)*RadSpec!V2))*1,".")</f>
        <v>4.7229265965834433</v>
      </c>
      <c r="G2" s="22">
        <f t="shared" ref="G2" si="0">(IF(AND(ISNUMBER(D2),ISNUMBER(E2),ISNUMBER(F2)),1/((1/D2)+(1/E2)+(1/F2)),IF(AND(ISNUMBER(D2),ISNUMBER(E2),NOT(ISNUMBER(F2))), 1/((1/D2)+(1/E2)),IF(AND(ISNUMBER(D2),NOT(ISNUMBER(E2)),ISNUMBER(F2)),1/((1/D2)+(1/F2)),IF(AND(NOT(ISNUMBER(D2)),ISNUMBER(E2),ISNUMBER(F2)),1/((1/E2)+(1/F2)),IF(AND(ISNUMBER(D2),NOT(ISNUMBER(E2)),NOT(ISNUMBER(F2))),1/((1/D2)),IF(AND(NOT(ISNUMBER(D2)),NOT(ISNUMBER(E2)),ISNUMBER(F2)),1/((1/F2)),IF(AND(NOT(ISNUMBER(D2)),ISNUMBER(E2),NOT(ISNUMBER(F2))),1/((1/E2)),IF(AND(NOT(ISNUMBER(D2)),NOT(ISNUMBER(E2)),NOT(ISNUMBER(F2))),".")))))))))</f>
        <v>3.775300263170835</v>
      </c>
      <c r="H2" s="22">
        <f>IFERROR((TR/(RadSpec!F2*EF_ow*(1/365)*ED_out*RadSpec!Q2*ET_ow_o*(1/24)*RadSpec!V2))*1,".")</f>
        <v>4.7229265965834433</v>
      </c>
      <c r="I2" s="22">
        <f>IFERROR((TR/(RadSpec!M2*EF_ow*(1/365)*ED_out*RadSpec!R2*ET_ow_o*(1/24)*RadSpec!W2)*1),".")</f>
        <v>16.860771527042431</v>
      </c>
      <c r="J2" s="22">
        <f>IFERROR((TR/(RadSpec!N2*EF_ow*(1/365)*ED_out*RadSpec!S2*ET_ow_o*(1/24)*RadSpec!W2))*1,".")</f>
        <v>6.5124730023201387</v>
      </c>
      <c r="K2" s="22">
        <f>IFERROR((TR/(RadSpec!O2*EF_ow*(1/365)*ED_out*RadSpec!T2*ET_ow_o*(1/24)*RadSpec!X2))*1,".")</f>
        <v>4.8464915366103352</v>
      </c>
      <c r="L2" s="22">
        <f>IFERROR((TR/(RadSpec!K2*EF_ow*(1/365)*ED_out*RadSpec!P2*ET_ow_o*(1/24)*RadSpec!U2))*1,".")</f>
        <v>16.186340665960731</v>
      </c>
      <c r="M2" s="22">
        <f>IFERROR(TR/(RadSpec!G2*EF_ow*ED_out*ET_ow_o*(1/24)*IRA_ow),".")</f>
        <v>3.1119202103658064E-4</v>
      </c>
      <c r="N2" s="22">
        <f>IFERROR(TR/(RadSpec!J2*EF_ow*(1/365)*ED_out*ET_ow_o*(1/24)*GSF_a),".")</f>
        <v>3780.4831940906024</v>
      </c>
      <c r="O2" s="22">
        <f t="shared" ref="O2" si="1">IFERROR(IF(AND(ISNUMBER(M2),ISNUMBER(N2)),1/((1/M2)+(1/N2)),IF(AND(ISNUMBER(M2),NOT(ISNUMBER(N2))),1/((1/M2)),IF(AND(NOT(ISNUMBER(M2)),ISNUMBER(N2)),1/((1/N2)),IF(AND(NOT(ISNUMBER(M2)),NOT(ISNUMBER(N2))),".")))),".")</f>
        <v>3.1119199542068419E-4</v>
      </c>
    </row>
    <row r="3" spans="1:15" x14ac:dyDescent="0.25">
      <c r="A3" s="25" t="s">
        <v>13</v>
      </c>
      <c r="B3" s="24" t="s">
        <v>275</v>
      </c>
      <c r="C3" s="2"/>
      <c r="D3" s="22">
        <f>IFERROR((TR/(RadSpec!I3*EF_ow*ED_out*IRS_ow*(1/1000)))*1,".")</f>
        <v>19.53172684880002</v>
      </c>
      <c r="E3" s="22">
        <f>IFERROR(IF(A3="H-3",(TR/(RadSpec!G3*EF_ow*ED_out*ET_ow_o*(1/24)*IRA_ow*(1/17)*1000))*1,(TR/(RadSpec!G3*EF_ow*ED_out*ET_ow_o*(1/24)*IRA_ow*(1/PEF_wind)*1000))*1),".")</f>
        <v>320.16592441416327</v>
      </c>
      <c r="F3" s="22">
        <f>IFERROR((TR/(RadSpec!F3*EF_ow*(1/365)*ED_out*RadSpec!Q3*ET_ow_o*(1/24)*RadSpec!V3))*1,".")</f>
        <v>7.0345699940673239</v>
      </c>
      <c r="G3" s="22">
        <f>(IF(AND(ISNUMBER(D3),ISNUMBER(E3),ISNUMBER(F3)),1/((1/D3)+(1/E3)+(1/F3)),IF(AND(ISNUMBER(D3),ISNUMBER(E3),NOT(ISNUMBER(F3))), 1/((1/D3)+(1/E3)),IF(AND(ISNUMBER(D3),NOT(ISNUMBER(E3)),ISNUMBER(F3)),1/((1/D3)+(1/F3)),IF(AND(NOT(ISNUMBER(D3)),ISNUMBER(E3),ISNUMBER(F3)),1/((1/E3)+(1/F3)),IF(AND(ISNUMBER(D3),NOT(ISNUMBER(E3)),NOT(ISNUMBER(F3))),1/((1/D3)),IF(AND(NOT(ISNUMBER(D3)),NOT(ISNUMBER(E3)),ISNUMBER(F3)),1/((1/F3)),IF(AND(NOT(ISNUMBER(D3)),ISNUMBER(E3),NOT(ISNUMBER(F3))),1/((1/E3)),IF(AND(NOT(ISNUMBER(D3)),NOT(ISNUMBER(E3)),NOT(ISNUMBER(F3))),".")))))))))</f>
        <v>5.0896482927468947</v>
      </c>
      <c r="H3" s="22">
        <f>IFERROR((TR/(RadSpec!F3*EF_ow*(1/365)*ED_out*RadSpec!Q3*ET_ow_o*(1/24)*RadSpec!V3))*1,".")</f>
        <v>7.0345699940673239</v>
      </c>
      <c r="I3" s="22">
        <f>IFERROR((TR/(RadSpec!M3*EF_ow*(1/365)*ED_out*RadSpec!R3*ET_ow_o*(1/24)*RadSpec!W3)*1),".")</f>
        <v>14.152742687554802</v>
      </c>
      <c r="J3" s="22">
        <f>IFERROR((TR/(RadSpec!N3*EF_ow*(1/365)*ED_out*RadSpec!S3*ET_ow_o*(1/24)*RadSpec!W3))*1,".")</f>
        <v>7.5506933360233504</v>
      </c>
      <c r="K3" s="22">
        <f>IFERROR((TR/(RadSpec!O3*EF_ow*(1/365)*ED_out*RadSpec!T3*ET_ow_o*(1/24)*RadSpec!X3))*1,".")</f>
        <v>7.0345699940673239</v>
      </c>
      <c r="L3" s="22">
        <f>IFERROR((TR/(RadSpec!K3*EF_ow*(1/365)*ED_out*RadSpec!P3*ET_ow_o*(1/24)*RadSpec!U3))*1,".")</f>
        <v>10.419956803712223</v>
      </c>
      <c r="M3" s="22">
        <f>IFERROR(TR/(RadSpec!G3*EF_ow*ED_out*ET_ow_o*(1/24)*IRA_ow),".")</f>
        <v>2.3552964729435318E-4</v>
      </c>
      <c r="N3" s="22">
        <f>IFERROR(TR/(RadSpec!J3*EF_ow*(1/365)*ED_out*ET_ow_o*(1/24)*GSF_a),".")</f>
        <v>3354.5132567282808</v>
      </c>
      <c r="O3" s="22">
        <f>IFERROR(IF(AND(ISNUMBER(M3),ISNUMBER(N3)),1/((1/M3)+(1/N3)),IF(AND(ISNUMBER(M3),NOT(ISNUMBER(N3))),1/((1/M3)),IF(AND(NOT(ISNUMBER(M3)),ISNUMBER(N3)),1/((1/N3)),IF(AND(NOT(ISNUMBER(M3)),NOT(ISNUMBER(N3))),".")))),".")</f>
        <v>2.3552963075716682E-4</v>
      </c>
    </row>
    <row r="4" spans="1:15" ht="15" customHeight="1" x14ac:dyDescent="0.25">
      <c r="A4" s="23" t="s">
        <v>14</v>
      </c>
      <c r="B4" s="24" t="s">
        <v>289</v>
      </c>
      <c r="C4" s="2"/>
      <c r="D4" s="22" t="str">
        <f>IFERROR((TR/(RadSpec!I4*EF_ow*ED_out*IRS_ow*(1/1000)))*1,".")</f>
        <v>.</v>
      </c>
      <c r="E4" s="22" t="str">
        <f>IFERROR(IF(A4="H-3",(TR/(RadSpec!G4*EF_ow*ED_out*ET_ow_o*(1/24)*IRA_ow*(1/17)*1000))*1,(TR/(RadSpec!G4*EF_ow*ED_out*ET_ow_o*(1/24)*IRA_ow*(1/PEF_wind)*1000))*1),".")</f>
        <v>.</v>
      </c>
      <c r="F4" s="22">
        <f>IFERROR((TR/(RadSpec!F4*EF_ow*(1/365)*ED_out*RadSpec!Q4*ET_ow_o*(1/24)*RadSpec!V4))*1,".")</f>
        <v>207.87943748054309</v>
      </c>
      <c r="G4" s="22">
        <f t="shared" ref="G4:G5" si="2">(IF(AND(ISNUMBER(D4),ISNUMBER(E4),ISNUMBER(F4)),1/((1/D4)+(1/E4)+(1/F4)),IF(AND(ISNUMBER(D4),ISNUMBER(E4),NOT(ISNUMBER(F4))), 1/((1/D4)+(1/E4)),IF(AND(ISNUMBER(D4),NOT(ISNUMBER(E4)),ISNUMBER(F4)),1/((1/D4)+(1/F4)),IF(AND(NOT(ISNUMBER(D4)),ISNUMBER(E4),ISNUMBER(F4)),1/((1/E4)+(1/F4)),IF(AND(ISNUMBER(D4),NOT(ISNUMBER(E4)),NOT(ISNUMBER(F4))),1/((1/D4)),IF(AND(NOT(ISNUMBER(D4)),NOT(ISNUMBER(E4)),ISNUMBER(F4)),1/((1/F4)),IF(AND(NOT(ISNUMBER(D4)),ISNUMBER(E4),NOT(ISNUMBER(F4))),1/((1/E4)),IF(AND(NOT(ISNUMBER(D4)),NOT(ISNUMBER(E4)),NOT(ISNUMBER(F4))),".")))))))))</f>
        <v>207.87943748054309</v>
      </c>
      <c r="H4" s="22">
        <f>IFERROR((TR/(RadSpec!F4*EF_ow*(1/365)*ED_out*RadSpec!Q4*ET_ow_o*(1/24)*RadSpec!V4))*1,".")</f>
        <v>207.87943748054309</v>
      </c>
      <c r="I4" s="22">
        <f>IFERROR((TR/(RadSpec!M4*EF_ow*(1/365)*ED_out*RadSpec!R4*ET_ow_o*(1/24)*RadSpec!W4)*1),".")</f>
        <v>898.27213825105366</v>
      </c>
      <c r="J4" s="22">
        <f>IFERROR((TR/(RadSpec!N4*EF_ow*(1/365)*ED_out*RadSpec!S4*ET_ow_o*(1/24)*RadSpec!W4))*1,".")</f>
        <v>325.62365011600701</v>
      </c>
      <c r="K4" s="22">
        <f>IFERROR((TR/(RadSpec!O4*EF_ow*(1/365)*ED_out*RadSpec!T4*ET_ow_o*(1/24)*RadSpec!X4))*1,".")</f>
        <v>221.70120858962173</v>
      </c>
      <c r="L4" s="22">
        <f>IFERROR((TR/(RadSpec!K4*EF_ow*(1/365)*ED_out*RadSpec!P4*ET_ow_o*(1/24)*RadSpec!U4))*1,".")</f>
        <v>916.04015856810747</v>
      </c>
      <c r="M4" s="22" t="str">
        <f>IFERROR(TR/(RadSpec!G4*EF_ow*ED_out*ET_ow_o*(1/24)*IRA_ow),".")</f>
        <v>.</v>
      </c>
      <c r="N4" s="22">
        <f>IFERROR(TR/(RadSpec!J4*EF_ow*(1/365)*ED_out*ET_ow_o*(1/24)*GSF_a),".")</f>
        <v>199425.01059736309</v>
      </c>
      <c r="O4" s="22">
        <f t="shared" ref="O4:O5" si="3">IFERROR(IF(AND(ISNUMBER(M4),ISNUMBER(N4)),1/((1/M4)+(1/N4)),IF(AND(ISNUMBER(M4),NOT(ISNUMBER(N4))),1/((1/M4)),IF(AND(NOT(ISNUMBER(M4)),ISNUMBER(N4)),1/((1/N4)),IF(AND(NOT(ISNUMBER(M4)),NOT(ISNUMBER(N4))),".")))),".")</f>
        <v>199425.01059736309</v>
      </c>
    </row>
    <row r="5" spans="1:15" ht="15" customHeight="1" x14ac:dyDescent="0.25">
      <c r="A5" s="23" t="s">
        <v>15</v>
      </c>
      <c r="B5" s="24" t="s">
        <v>289</v>
      </c>
      <c r="C5" s="109"/>
      <c r="D5" s="22" t="str">
        <f>IFERROR((TR/(RadSpec!I5*EF_ow*ED_out*IRS_ow*(1/1000)))*1,".")</f>
        <v>.</v>
      </c>
      <c r="E5" s="22" t="str">
        <f>IFERROR(IF(A5="H-3",(TR/(RadSpec!G5*EF_ow*ED_out*ET_ow_o*(1/24)*IRA_ow*(1/17)*1000))*1,(TR/(RadSpec!G5*EF_ow*ED_out*ET_ow_o*(1/24)*IRA_ow*(1/PEF_wind)*1000))*1),".")</f>
        <v>.</v>
      </c>
      <c r="F5" s="22">
        <f>IFERROR((TR/(RadSpec!F5*EF_ow*(1/365)*ED_out*RadSpec!Q5*ET_ow_o*(1/24)*RadSpec!V5))*1,".")</f>
        <v>7882.7096387421052</v>
      </c>
      <c r="G5" s="22">
        <f t="shared" si="2"/>
        <v>7882.7096387421052</v>
      </c>
      <c r="H5" s="22">
        <f>IFERROR((TR/(RadSpec!F5*EF_ow*(1/365)*ED_out*RadSpec!Q5*ET_ow_o*(1/24)*RadSpec!V5))*1,".")</f>
        <v>7882.7096387421052</v>
      </c>
      <c r="I5" s="22">
        <f>IFERROR((TR/(RadSpec!M5*EF_ow*(1/365)*ED_out*RadSpec!R5*ET_ow_o*(1/24)*RadSpec!W5)*1),".")</f>
        <v>25785.589714704827</v>
      </c>
      <c r="J5" s="22">
        <f>IFERROR((TR/(RadSpec!N5*EF_ow*(1/365)*ED_out*RadSpec!S5*ET_ow_o*(1/24)*RadSpec!W5))*1,".")</f>
        <v>11731.708455379323</v>
      </c>
      <c r="K5" s="22">
        <f>IFERROR((TR/(RadSpec!O5*EF_ow*(1/365)*ED_out*RadSpec!T5*ET_ow_o*(1/24)*RadSpec!X5))*1,".")</f>
        <v>8458.615365773494</v>
      </c>
      <c r="L5" s="22">
        <f>IFERROR((TR/(RadSpec!K5*EF_ow*(1/365)*ED_out*RadSpec!P5*ET_ow_o*(1/24)*RadSpec!U5))*1,".")</f>
        <v>10832.963538622194</v>
      </c>
      <c r="M5" s="22" t="str">
        <f>IFERROR(TR/(RadSpec!G5*EF_ow*ED_out*ET_ow_o*(1/24)*IRA_ow),".")</f>
        <v>.</v>
      </c>
      <c r="N5" s="22">
        <f>IFERROR(TR/(RadSpec!J5*EF_ow*(1/365)*ED_out*ET_ow_o*(1/24)*GSF_a),".")</f>
        <v>6315125.3355831644</v>
      </c>
      <c r="O5" s="22">
        <f t="shared" si="3"/>
        <v>6315125.3355831644</v>
      </c>
    </row>
    <row r="6" spans="1:15" ht="15" customHeight="1" x14ac:dyDescent="0.25">
      <c r="A6" s="23" t="s">
        <v>16</v>
      </c>
      <c r="B6" s="24" t="s">
        <v>289</v>
      </c>
      <c r="C6" s="2"/>
      <c r="D6" s="22" t="str">
        <f>IFERROR((TR/(RadSpec!I6*EF_ow*ED_out*IRS_ow*(1/1000)))*1,".")</f>
        <v>.</v>
      </c>
      <c r="E6" s="22" t="str">
        <f>IFERROR(IF(A6="H-3",(TR/(RadSpec!G6*EF_ow*ED_out*ET_ow_o*(1/24)*IRA_ow*(1/17)*1000))*1,(TR/(RadSpec!G6*EF_ow*ED_out*ET_ow_o*(1/24)*IRA_ow*(1/PEF_wind)*1000))*1),".")</f>
        <v>.</v>
      </c>
      <c r="F6" s="22">
        <f>IFERROR((TR/(RadSpec!F6*EF_ow*(1/365)*ED_out*RadSpec!Q6*ET_ow_o*(1/24)*RadSpec!V6))*1,".")</f>
        <v>7.2486656025824145E-2</v>
      </c>
      <c r="G6" s="22">
        <f t="shared" ref="G6:G9" si="4">(IF(AND(ISNUMBER(D6),ISNUMBER(E6),ISNUMBER(F6)),1/((1/D6)+(1/E6)+(1/F6)),IF(AND(ISNUMBER(D6),ISNUMBER(E6),NOT(ISNUMBER(F6))), 1/((1/D6)+(1/E6)),IF(AND(ISNUMBER(D6),NOT(ISNUMBER(E6)),ISNUMBER(F6)),1/((1/D6)+(1/F6)),IF(AND(NOT(ISNUMBER(D6)),ISNUMBER(E6),ISNUMBER(F6)),1/((1/E6)+(1/F6)),IF(AND(ISNUMBER(D6),NOT(ISNUMBER(E6)),NOT(ISNUMBER(F6))),1/((1/D6)),IF(AND(NOT(ISNUMBER(D6)),NOT(ISNUMBER(E6)),ISNUMBER(F6)),1/((1/F6)),IF(AND(NOT(ISNUMBER(D6)),ISNUMBER(E6),NOT(ISNUMBER(F6))),1/((1/E6)),IF(AND(NOT(ISNUMBER(D6)),NOT(ISNUMBER(E6)),NOT(ISNUMBER(F6))),".")))))))))</f>
        <v>7.2486656025824145E-2</v>
      </c>
      <c r="H6" s="22">
        <f>IFERROR((TR/(RadSpec!F6*EF_ow*(1/365)*ED_out*RadSpec!Q6*ET_ow_o*(1/24)*RadSpec!V6))*1,".")</f>
        <v>7.2486656025824145E-2</v>
      </c>
      <c r="I6" s="22">
        <f>IFERROR((TR/(RadSpec!M6*EF_ow*(1/365)*ED_out*RadSpec!R6*ET_ow_o*(1/24)*RadSpec!W6)*1),".")</f>
        <v>0.35562992504137275</v>
      </c>
      <c r="J6" s="22">
        <f>IFERROR((TR/(RadSpec!N6*EF_ow*(1/365)*ED_out*RadSpec!S6*ET_ow_o*(1/24)*RadSpec!W6))*1,".")</f>
        <v>0.12611142878925533</v>
      </c>
      <c r="K6" s="22">
        <f>IFERROR((TR/(RadSpec!O6*EF_ow*(1/365)*ED_out*RadSpec!T6*ET_ow_o*(1/24)*RadSpec!X6))*1,".")</f>
        <v>8.1326492126534408E-2</v>
      </c>
      <c r="L6" s="22">
        <f>IFERROR((TR/(RadSpec!K6*EF_ow*(1/365)*ED_out*RadSpec!P6*ET_ow_o*(1/24)*RadSpec!U6))*1,".")</f>
        <v>0.36322289511850891</v>
      </c>
      <c r="M6" s="22" t="str">
        <f>IFERROR(TR/(RadSpec!G6*EF_ow*ED_out*ET_ow_o*(1/24)*IRA_ow),".")</f>
        <v>.</v>
      </c>
      <c r="N6" s="22">
        <f>IFERROR(TR/(RadSpec!J6*EF_ow*(1/365)*ED_out*ET_ow_o*(1/24)*GSF_a),".")</f>
        <v>77.184865212683135</v>
      </c>
      <c r="O6" s="22">
        <f t="shared" ref="O6:O9" si="5">IFERROR(IF(AND(ISNUMBER(M6),ISNUMBER(N6)),1/((1/M6)+(1/N6)),IF(AND(ISNUMBER(M6),NOT(ISNUMBER(N6))),1/((1/M6)),IF(AND(NOT(ISNUMBER(M6)),ISNUMBER(N6)),1/((1/N6)),IF(AND(NOT(ISNUMBER(M6)),NOT(ISNUMBER(N6))),".")))),".")</f>
        <v>77.184865212683135</v>
      </c>
    </row>
    <row r="7" spans="1:15" ht="15" customHeight="1" x14ac:dyDescent="0.25">
      <c r="A7" s="23" t="s">
        <v>17</v>
      </c>
      <c r="B7" s="24" t="s">
        <v>289</v>
      </c>
      <c r="C7" s="109"/>
      <c r="D7" s="22">
        <f>IFERROR((TR/(RadSpec!I7*EF_ow*ED_out*IRS_ow*(1/1000)))*1,".")</f>
        <v>475.72324800047568</v>
      </c>
      <c r="E7" s="22">
        <f>IFERROR(IF(A7="H-3",(TR/(RadSpec!G7*EF_ow*ED_out*ET_ow_o*(1/24)*IRA_ow*(1/17)*1000))*1,(TR/(RadSpec!G7*EF_ow*ED_out*ET_ow_o*(1/24)*IRA_ow*(1/PEF_wind)*1000))*1),".")</f>
        <v>26550.344951418418</v>
      </c>
      <c r="F7" s="22">
        <f>IFERROR((TR/(RadSpec!F7*EF_ow*(1/365)*ED_out*RadSpec!Q7*ET_ow_o*(1/24)*RadSpec!V7))*1,".")</f>
        <v>70.345699940673228</v>
      </c>
      <c r="G7" s="22">
        <f t="shared" si="4"/>
        <v>61.142496035272117</v>
      </c>
      <c r="H7" s="22">
        <f>IFERROR((TR/(RadSpec!F7*EF_ow*(1/365)*ED_out*RadSpec!Q7*ET_ow_o*(1/24)*RadSpec!V7))*1,".")</f>
        <v>70.345699940673228</v>
      </c>
      <c r="I7" s="22">
        <f>IFERROR((TR/(RadSpec!M7*EF_ow*(1/365)*ED_out*RadSpec!R7*ET_ow_o*(1/24)*RadSpec!W7)*1),".")</f>
        <v>203.9130489963253</v>
      </c>
      <c r="J7" s="22">
        <f>IFERROR((TR/(RadSpec!N7*EF_ow*(1/365)*ED_out*RadSpec!S7*ET_ow_o*(1/24)*RadSpec!W7))*1,".")</f>
        <v>94.726880033747463</v>
      </c>
      <c r="K7" s="22">
        <f>IFERROR((TR/(RadSpec!O7*EF_ow*(1/365)*ED_out*RadSpec!T7*ET_ow_o*(1/24)*RadSpec!X7))*1,".")</f>
        <v>72.486656025824146</v>
      </c>
      <c r="L7" s="22">
        <f>IFERROR((TR/(RadSpec!K7*EF_ow*(1/365)*ED_out*RadSpec!P7*ET_ow_o*(1/24)*RadSpec!U7))*1,".")</f>
        <v>40.367871394526766</v>
      </c>
      <c r="M7" s="22">
        <f>IFERROR(TR/(RadSpec!G7*EF_ow*ED_out*ET_ow_o*(1/24)*IRA_ow),".")</f>
        <v>1.9531726848800019E-2</v>
      </c>
      <c r="N7" s="22">
        <f>IFERROR(TR/(RadSpec!J7*EF_ow*(1/365)*ED_out*ET_ow_o*(1/24)*GSF_a),".")</f>
        <v>36803.37943916017</v>
      </c>
      <c r="O7" s="22">
        <f t="shared" si="5"/>
        <v>1.9531716483226068E-2</v>
      </c>
    </row>
    <row r="8" spans="1:15" ht="15" customHeight="1" x14ac:dyDescent="0.25">
      <c r="A8" s="23" t="s">
        <v>18</v>
      </c>
      <c r="B8" s="24" t="s">
        <v>289</v>
      </c>
      <c r="C8" s="2"/>
      <c r="D8" s="22">
        <f>IFERROR((TR/(RadSpec!I8*EF_ow*ED_out*IRS_ow*(1/1000)))*1,".")</f>
        <v>5606.5400289437621</v>
      </c>
      <c r="E8" s="22">
        <f>IFERROR(IF(A8="H-3",(TR/(RadSpec!G8*EF_ow*ED_out*ET_ow_o*(1/24)*IRA_ow*(1/17)*1000))*1,(TR/(RadSpec!G8*EF_ow*ED_out*ET_ow_o*(1/24)*IRA_ow*(1/PEF_wind)*1000))*1),".")</f>
        <v>163284.6214512233</v>
      </c>
      <c r="F8" s="22">
        <f>IFERROR((TR/(RadSpec!F8*EF_ow*(1/365)*ED_out*RadSpec!Q8*ET_ow_o*(1/24)*RadSpec!V8))*1,".")</f>
        <v>0.35853614808472156</v>
      </c>
      <c r="G8" s="22">
        <f t="shared" si="4"/>
        <v>0.35851243413566847</v>
      </c>
      <c r="H8" s="22">
        <f>IFERROR((TR/(RadSpec!F8*EF_ow*(1/365)*ED_out*RadSpec!Q8*ET_ow_o*(1/24)*RadSpec!V8))*1,".")</f>
        <v>0.35853614808472156</v>
      </c>
      <c r="I8" s="22">
        <f>IFERROR((TR/(RadSpec!M8*EF_ow*(1/365)*ED_out*RadSpec!R8*ET_ow_o*(1/24)*RadSpec!W8)*1),".")</f>
        <v>1.6539613974146385</v>
      </c>
      <c r="J8" s="22">
        <f>IFERROR((TR/(RadSpec!N8*EF_ow*(1/365)*ED_out*RadSpec!S8*ET_ow_o*(1/24)*RadSpec!W8))*1,".")</f>
        <v>0.59204300021092182</v>
      </c>
      <c r="K8" s="22">
        <f>IFERROR((TR/(RadSpec!O8*EF_ow*(1/365)*ED_out*RadSpec!T8*ET_ow_o*(1/24)*RadSpec!X8))*1,".")</f>
        <v>0.39135987995163268</v>
      </c>
      <c r="L8" s="22">
        <f>IFERROR((TR/(RadSpec!K8*EF_ow*(1/365)*ED_out*RadSpec!P8*ET_ow_o*(1/24)*RadSpec!U8))*1,".")</f>
        <v>1.6186340665960737</v>
      </c>
      <c r="M8" s="22">
        <f>IFERROR(TR/(RadSpec!G8*EF_ow*ED_out*ET_ow_o*(1/24)*IRA_ow),".")</f>
        <v>0.12012012012012013</v>
      </c>
      <c r="N8" s="22">
        <f>IFERROR(TR/(RadSpec!J8*EF_ow*(1/365)*ED_out*ET_ow_o*(1/24)*GSF_a),".")</f>
        <v>365.61251942849907</v>
      </c>
      <c r="O8" s="22">
        <f t="shared" si="5"/>
        <v>0.12008066823178037</v>
      </c>
    </row>
    <row r="9" spans="1:15" ht="15" customHeight="1" x14ac:dyDescent="0.25">
      <c r="A9" s="23" t="s">
        <v>19</v>
      </c>
      <c r="B9" s="24" t="s">
        <v>289</v>
      </c>
      <c r="C9" s="109"/>
      <c r="D9" s="22">
        <f>IFERROR((TR/(RadSpec!I9*EF_ow*ED_out*IRS_ow*(1/1000)))*1,".")</f>
        <v>12072.373881419107</v>
      </c>
      <c r="E9" s="22">
        <f>IFERROR(IF(A9="H-3",(TR/(RadSpec!G9*EF_ow*ED_out*ET_ow_o*(1/24)*IRA_ow*(1/17)*1000))*1,(TR/(RadSpec!G9*EF_ow*ED_out*ET_ow_o*(1/24)*IRA_ow*(1/PEF_wind)*1000))*1),".")</f>
        <v>195518.80238495991</v>
      </c>
      <c r="F9" s="22">
        <f>IFERROR((TR/(RadSpec!F9*EF_ow*(1/365)*ED_out*RadSpec!Q9*ET_ow_o*(1/24)*RadSpec!V9))*1,".")</f>
        <v>2.6505454508647944E-2</v>
      </c>
      <c r="G9" s="22">
        <f t="shared" si="4"/>
        <v>2.6505392721637353E-2</v>
      </c>
      <c r="H9" s="22">
        <f>IFERROR((TR/(RadSpec!F9*EF_ow*(1/365)*ED_out*RadSpec!Q9*ET_ow_o*(1/24)*RadSpec!V9))*1,".")</f>
        <v>2.6505454508647944E-2</v>
      </c>
      <c r="I9" s="22">
        <f>IFERROR((TR/(RadSpec!M9*EF_ow*(1/365)*ED_out*RadSpec!R9*ET_ow_o*(1/24)*RadSpec!W9)*1),".")</f>
        <v>0.14675995498186228</v>
      </c>
      <c r="J9" s="22">
        <f>IFERROR((TR/(RadSpec!N9*EF_ow*(1/365)*ED_out*RadSpec!S9*ET_ow_o*(1/24)*RadSpec!W9))*1,".")</f>
        <v>5.1078219626040304E-2</v>
      </c>
      <c r="K9" s="22">
        <f>IFERROR((TR/(RadSpec!O9*EF_ow*(1/365)*ED_out*RadSpec!T9*ET_ow_o*(1/24)*RadSpec!X9))*1,".")</f>
        <v>3.1695686094942124E-2</v>
      </c>
      <c r="L9" s="22">
        <f>IFERROR((TR/(RadSpec!K9*EF_ow*(1/365)*ED_out*RadSpec!P9*ET_ow_o*(1/24)*RadSpec!U9))*1,".")</f>
        <v>0.15156300805399595</v>
      </c>
      <c r="M9" s="22">
        <f>IFERROR(TR/(RadSpec!G9*EF_ow*ED_out*ET_ow_o*(1/24)*IRA_ow),".")</f>
        <v>0.14383315354189141</v>
      </c>
      <c r="N9" s="22">
        <f>IFERROR(TR/(RadSpec!J9*EF_ow*(1/365)*ED_out*ET_ow_o*(1/24)*GSF_a),".")</f>
        <v>29.095865420487879</v>
      </c>
      <c r="O9" s="22">
        <f t="shared" si="5"/>
        <v>0.14312562312719077</v>
      </c>
    </row>
    <row r="10" spans="1:15" ht="15" customHeight="1" x14ac:dyDescent="0.25">
      <c r="A10" s="25" t="s">
        <v>20</v>
      </c>
      <c r="B10" s="24" t="s">
        <v>275</v>
      </c>
      <c r="C10" s="2"/>
      <c r="D10" s="22">
        <f>IFERROR((TR/(RadSpec!I10*EF_ow*ED_out*IRS_ow*(1/1000)))*1,".")</f>
        <v>55.934863851045449</v>
      </c>
      <c r="E10" s="22">
        <f>IFERROR(IF(A10="H-3",(TR/(RadSpec!G10*EF_ow*ED_out*ET_ow_o*(1/24)*IRA_ow*(1/17)*1000))*1,(TR/(RadSpec!G10*EF_ow*ED_out*ET_ow_o*(1/24)*IRA_ow*(1/PEF_wind)*1000))*1),".")</f>
        <v>107424.09306001532</v>
      </c>
      <c r="F10" s="22">
        <f>IFERROR((TR/(RadSpec!F10*EF_ow*(1/365)*ED_out*RadSpec!Q10*ET_ow_o*(1/24)*RadSpec!V10))*1,".")</f>
        <v>352.47211175347894</v>
      </c>
      <c r="G10" s="22">
        <f t="shared" ref="G10" si="6">(IF(AND(ISNUMBER(D10),ISNUMBER(E10),ISNUMBER(F10)),1/((1/D10)+(1/E10)+(1/F10)),IF(AND(ISNUMBER(D10),ISNUMBER(E10),NOT(ISNUMBER(F10))), 1/((1/D10)+(1/E10)),IF(AND(ISNUMBER(D10),NOT(ISNUMBER(E10)),ISNUMBER(F10)),1/((1/D10)+(1/F10)),IF(AND(NOT(ISNUMBER(D10)),ISNUMBER(E10),ISNUMBER(F10)),1/((1/E10)+(1/F10)),IF(AND(ISNUMBER(D10),NOT(ISNUMBER(E10)),NOT(ISNUMBER(F10))),1/((1/D10)),IF(AND(NOT(ISNUMBER(D10)),NOT(ISNUMBER(E10)),ISNUMBER(F10)),1/((1/F10)),IF(AND(NOT(ISNUMBER(D10)),ISNUMBER(E10),NOT(ISNUMBER(F10))),1/((1/E10)),IF(AND(NOT(ISNUMBER(D10)),NOT(ISNUMBER(E10)),NOT(ISNUMBER(F10))),".")))))))))</f>
        <v>48.252417372979295</v>
      </c>
      <c r="H10" s="22">
        <f>IFERROR((TR/(RadSpec!F10*EF_ow*(1/365)*ED_out*RadSpec!Q10*ET_ow_o*(1/24)*RadSpec!V10))*1,".")</f>
        <v>352.47211175347894</v>
      </c>
      <c r="I10" s="22">
        <f>IFERROR((TR/(RadSpec!M10*EF_ow*(1/365)*ED_out*RadSpec!R10*ET_ow_o*(1/24)*RadSpec!W10)*1),".")</f>
        <v>1011.6462916225458</v>
      </c>
      <c r="J10" s="22">
        <f>IFERROR((TR/(RadSpec!N10*EF_ow*(1/365)*ED_out*RadSpec!S10*ET_ow_o*(1/24)*RadSpec!W10))*1,".")</f>
        <v>459.02893408423876</v>
      </c>
      <c r="K10" s="22">
        <f>IFERROR((TR/(RadSpec!O10*EF_ow*(1/365)*ED_out*RadSpec!T10*ET_ow_o*(1/24)*RadSpec!X10))*1,".")</f>
        <v>359.30885530042144</v>
      </c>
      <c r="L10" s="22">
        <f>IFERROR((TR/(RadSpec!K10*EF_ow*(1/365)*ED_out*RadSpec!P10*ET_ow_o*(1/24)*RadSpec!U10))*1,".")</f>
        <v>351.72849970336614</v>
      </c>
      <c r="M10" s="22">
        <f>IFERROR(TR/(RadSpec!G10*EF_ow*ED_out*ET_ow_o*(1/24)*IRA_ow),".")</f>
        <v>7.9026394815868511E-2</v>
      </c>
      <c r="N10" s="22">
        <f>IFERROR(TR/(RadSpec!J10*EF_ow*(1/365)*ED_out*ET_ow_o*(1/24)*GSF_a),".")</f>
        <v>119941.94881970904</v>
      </c>
      <c r="O10" s="22">
        <f t="shared" ref="O10" si="7">IFERROR(IF(AND(ISNUMBER(M10),ISNUMBER(N10)),1/((1/M10)+(1/N10)),IF(AND(ISNUMBER(M10),NOT(ISNUMBER(N10))),1/((1/M10)),IF(AND(NOT(ISNUMBER(M10)),ISNUMBER(N10)),1/((1/N10)),IF(AND(NOT(ISNUMBER(M10)),NOT(ISNUMBER(N10))),".")))),".")</f>
        <v>7.9026342747621964E-2</v>
      </c>
    </row>
    <row r="11" spans="1:15" ht="15" customHeight="1" x14ac:dyDescent="0.25">
      <c r="A11" s="23" t="s">
        <v>21</v>
      </c>
      <c r="B11" s="24" t="s">
        <v>289</v>
      </c>
      <c r="C11" s="2"/>
      <c r="D11" s="22" t="str">
        <f>IFERROR((TR/(RadSpec!I11*EF_ow*ED_out*IRS_ow*(1/1000)))*1,".")</f>
        <v>.</v>
      </c>
      <c r="E11" s="22" t="str">
        <f>IFERROR(IF(A11="H-3",(TR/(RadSpec!G11*EF_ow*ED_out*ET_ow_o*(1/24)*IRA_ow*(1/17)*1000))*1,(TR/(RadSpec!G11*EF_ow*ED_out*ET_ow_o*(1/24)*IRA_ow*(1/PEF_wind)*1000))*1),".")</f>
        <v>.</v>
      </c>
      <c r="F11" s="22">
        <f>IFERROR((TR/(RadSpec!F11*EF_ow*(1/365)*ED_out*RadSpec!Q11*ET_ow_o*(1/24)*RadSpec!V11))*1,".")</f>
        <v>1.8565624594587478</v>
      </c>
      <c r="G11" s="22">
        <f t="shared" ref="G11" si="8">(IF(AND(ISNUMBER(D11),ISNUMBER(E11),ISNUMBER(F11)),1/((1/D11)+(1/E11)+(1/F11)),IF(AND(ISNUMBER(D11),ISNUMBER(E11),NOT(ISNUMBER(F11))), 1/((1/D11)+(1/E11)),IF(AND(ISNUMBER(D11),NOT(ISNUMBER(E11)),ISNUMBER(F11)),1/((1/D11)+(1/F11)),IF(AND(NOT(ISNUMBER(D11)),ISNUMBER(E11),ISNUMBER(F11)),1/((1/E11)+(1/F11)),IF(AND(ISNUMBER(D11),NOT(ISNUMBER(E11)),NOT(ISNUMBER(F11))),1/((1/D11)),IF(AND(NOT(ISNUMBER(D11)),NOT(ISNUMBER(E11)),ISNUMBER(F11)),1/((1/F11)),IF(AND(NOT(ISNUMBER(D11)),ISNUMBER(E11),NOT(ISNUMBER(F11))),1/((1/E11)),IF(AND(NOT(ISNUMBER(D11)),NOT(ISNUMBER(E11)),NOT(ISNUMBER(F11))),".")))))))))</f>
        <v>1.856562459458748</v>
      </c>
      <c r="H11" s="22">
        <f>IFERROR((TR/(RadSpec!F11*EF_ow*(1/365)*ED_out*RadSpec!Q11*ET_ow_o*(1/24)*RadSpec!V11))*1,".")</f>
        <v>1.8565624594587478</v>
      </c>
      <c r="I11" s="22">
        <f>IFERROR((TR/(RadSpec!M11*EF_ow*(1/365)*ED_out*RadSpec!R11*ET_ow_o*(1/24)*RadSpec!W11)*1),".")</f>
        <v>7.6058078859213296</v>
      </c>
      <c r="J11" s="22">
        <f>IFERROR((TR/(RadSpec!N11*EF_ow*(1/365)*ED_out*RadSpec!S11*ET_ow_o*(1/24)*RadSpec!W11))*1,".")</f>
        <v>2.7566023290243979</v>
      </c>
      <c r="K11" s="22">
        <f>IFERROR((TR/(RadSpec!O11*EF_ow*(1/365)*ED_out*RadSpec!T11*ET_ow_o*(1/24)*RadSpec!X11))*1,".")</f>
        <v>1.9273908538658446</v>
      </c>
      <c r="L11" s="22">
        <f>IFERROR((TR/(RadSpec!K11*EF_ow*(1/365)*ED_out*RadSpec!P11*ET_ow_o*(1/24)*RadSpec!U11))*1,".")</f>
        <v>7.7184865212683125</v>
      </c>
      <c r="M11" s="22" t="str">
        <f>IFERROR(TR/(RadSpec!G11*EF_ow*ED_out*ET_ow_o*(1/24)*IRA_ow),".")</f>
        <v>.</v>
      </c>
      <c r="N11" s="22">
        <f>IFERROR(TR/(RadSpec!J11*EF_ow*(1/365)*ED_out*ET_ow_o*(1/24)*GSF_a),".")</f>
        <v>1689.1520654447372</v>
      </c>
      <c r="O11" s="22">
        <f t="shared" ref="O11" si="9">IFERROR(IF(AND(ISNUMBER(M11),ISNUMBER(N11)),1/((1/M11)+(1/N11)),IF(AND(ISNUMBER(M11),NOT(ISNUMBER(N11))),1/((1/M11)),IF(AND(NOT(ISNUMBER(M11)),ISNUMBER(N11)),1/((1/N11)),IF(AND(NOT(ISNUMBER(M11)),NOT(ISNUMBER(N11))),".")))),".")</f>
        <v>1689.1520654447372</v>
      </c>
    </row>
    <row r="12" spans="1:15" ht="15" customHeight="1" x14ac:dyDescent="0.25">
      <c r="A12" s="23" t="s">
        <v>22</v>
      </c>
      <c r="B12" s="24" t="s">
        <v>289</v>
      </c>
      <c r="C12" s="109"/>
      <c r="D12" s="22" t="str">
        <f>IFERROR((TR/(RadSpec!I12*EF_ow*ED_out*IRS_ow*(1/1000)))*1,".")</f>
        <v>.</v>
      </c>
      <c r="E12" s="22" t="str">
        <f>IFERROR(IF(A12="H-3",(TR/(RadSpec!G12*EF_ow*ED_out*ET_ow_o*(1/24)*IRA_ow*(1/17)*1000))*1,(TR/(RadSpec!G12*EF_ow*ED_out*ET_ow_o*(1/24)*IRA_ow*(1/PEF_wind)*1000))*1),".")</f>
        <v>.</v>
      </c>
      <c r="F12" s="22">
        <f>IFERROR((TR/(RadSpec!F12*EF_ow*(1/365)*ED_out*RadSpec!Q12*ET_ow_o*(1/24)*RadSpec!V12))*1,".")</f>
        <v>0.40270364458791191</v>
      </c>
      <c r="G12" s="22">
        <f t="shared" ref="G12" si="10">(IF(AND(ISNUMBER(D12),ISNUMBER(E12),ISNUMBER(F12)),1/((1/D12)+(1/E12)+(1/F12)),IF(AND(ISNUMBER(D12),ISNUMBER(E12),NOT(ISNUMBER(F12))), 1/((1/D12)+(1/E12)),IF(AND(ISNUMBER(D12),NOT(ISNUMBER(E12)),ISNUMBER(F12)),1/((1/D12)+(1/F12)),IF(AND(NOT(ISNUMBER(D12)),ISNUMBER(E12),ISNUMBER(F12)),1/((1/E12)+(1/F12)),IF(AND(ISNUMBER(D12),NOT(ISNUMBER(E12)),NOT(ISNUMBER(F12))),1/((1/D12)),IF(AND(NOT(ISNUMBER(D12)),NOT(ISNUMBER(E12)),ISNUMBER(F12)),1/((1/F12)),IF(AND(NOT(ISNUMBER(D12)),ISNUMBER(E12),NOT(ISNUMBER(F12))),1/((1/E12)),IF(AND(NOT(ISNUMBER(D12)),NOT(ISNUMBER(E12)),NOT(ISNUMBER(F12))),".")))))))))</f>
        <v>0.40270364458791191</v>
      </c>
      <c r="H12" s="22">
        <f>IFERROR((TR/(RadSpec!F12*EF_ow*(1/365)*ED_out*RadSpec!Q12*ET_ow_o*(1/24)*RadSpec!V12))*1,".")</f>
        <v>0.40270364458791191</v>
      </c>
      <c r="I12" s="22">
        <f>IFERROR((TR/(RadSpec!M12*EF_ow*(1/365)*ED_out*RadSpec!R12*ET_ow_o*(1/24)*RadSpec!W12)*1),".")</f>
        <v>1.77210149722997</v>
      </c>
      <c r="J12" s="22">
        <f>IFERROR((TR/(RadSpec!N12*EF_ow*(1/365)*ED_out*RadSpec!S12*ET_ow_o*(1/24)*RadSpec!W12))*1,".")</f>
        <v>0.63536321973855014</v>
      </c>
      <c r="K12" s="22">
        <f>IFERROR((TR/(RadSpec!O12*EF_ow*(1/365)*ED_out*RadSpec!T12*ET_ow_o*(1/24)*RadSpec!X12))*1,".")</f>
        <v>0.43079924769869649</v>
      </c>
      <c r="L12" s="22">
        <f>IFERROR((TR/(RadSpec!K12*EF_ow*(1/365)*ED_out*RadSpec!P12*ET_ow_o*(1/24)*RadSpec!U12))*1,".")</f>
        <v>1.7421035408505281</v>
      </c>
      <c r="M12" s="22" t="str">
        <f>IFERROR(TR/(RadSpec!G12*EF_ow*ED_out*ET_ow_o*(1/24)*IRA_ow),".")</f>
        <v>.</v>
      </c>
      <c r="N12" s="22">
        <f>IFERROR(TR/(RadSpec!J12*EF_ow*(1/365)*ED_out*ET_ow_o*(1/24)*GSF_a),".")</f>
        <v>392.28072672798959</v>
      </c>
      <c r="O12" s="22">
        <f t="shared" ref="O12" si="11">IFERROR(IF(AND(ISNUMBER(M12),ISNUMBER(N12)),1/((1/M12)+(1/N12)),IF(AND(ISNUMBER(M12),NOT(ISNUMBER(N12))),1/((1/M12)),IF(AND(NOT(ISNUMBER(M12)),ISNUMBER(N12)),1/((1/N12)),IF(AND(NOT(ISNUMBER(M12)),NOT(ISNUMBER(N12))),".")))),".")</f>
        <v>392.28072672798959</v>
      </c>
    </row>
    <row r="13" spans="1:15" ht="15" customHeight="1" x14ac:dyDescent="0.25">
      <c r="A13" s="23" t="s">
        <v>23</v>
      </c>
      <c r="B13" s="24" t="s">
        <v>289</v>
      </c>
      <c r="C13" s="2"/>
      <c r="D13" s="22">
        <f>IFERROR((TR/(RadSpec!I13*EF_ow*ED_out*IRS_ow*(1/1000)))*1,".")</f>
        <v>37.833108699250431</v>
      </c>
      <c r="E13" s="22">
        <f>IFERROR(IF(A13="H-3",(TR/(RadSpec!G13*EF_ow*ED_out*ET_ow_o*(1/24)*IRA_ow*(1/17)*1000))*1,(TR/(RadSpec!G13*EF_ow*ED_out*ET_ow_o*(1/24)*IRA_ow*(1/PEF_wind)*1000))*1),".")</f>
        <v>421.37966826122135</v>
      </c>
      <c r="F13" s="22">
        <f>IFERROR((TR/(RadSpec!F13*EF_ow*(1/365)*ED_out*RadSpec!Q13*ET_ow_o*(1/24)*RadSpec!V13))*1,".")</f>
        <v>3.7634155498734887</v>
      </c>
      <c r="G13" s="22">
        <f t="shared" ref="G13:G14" si="12">(IF(AND(ISNUMBER(D13),ISNUMBER(E13),ISNUMBER(F13)),1/((1/D13)+(1/E13)+(1/F13)),IF(AND(ISNUMBER(D13),ISNUMBER(E13),NOT(ISNUMBER(F13))), 1/((1/D13)+(1/E13)),IF(AND(ISNUMBER(D13),NOT(ISNUMBER(E13)),ISNUMBER(F13)),1/((1/D13)+(1/F13)),IF(AND(NOT(ISNUMBER(D13)),ISNUMBER(E13),ISNUMBER(F13)),1/((1/E13)+(1/F13)),IF(AND(ISNUMBER(D13),NOT(ISNUMBER(E13)),NOT(ISNUMBER(F13))),1/((1/D13)),IF(AND(NOT(ISNUMBER(D13)),NOT(ISNUMBER(E13)),ISNUMBER(F13)),1/((1/F13)),IF(AND(NOT(ISNUMBER(D13)),ISNUMBER(E13),NOT(ISNUMBER(F13))),1/((1/E13)),IF(AND(NOT(ISNUMBER(D13)),NOT(ISNUMBER(E13)),NOT(ISNUMBER(F13))),".")))))))))</f>
        <v>3.3953424212677845</v>
      </c>
      <c r="H13" s="22">
        <f>IFERROR((TR/(RadSpec!F13*EF_ow*(1/365)*ED_out*RadSpec!Q13*ET_ow_o*(1/24)*RadSpec!V13))*1,".")</f>
        <v>3.7634155498734887</v>
      </c>
      <c r="I13" s="22">
        <f>IFERROR((TR/(RadSpec!M13*EF_ow*(1/365)*ED_out*RadSpec!R13*ET_ow_o*(1/24)*RadSpec!W13)*1),".")</f>
        <v>11.219334378155827</v>
      </c>
      <c r="J13" s="22">
        <f>IFERROR((TR/(RadSpec!N13*EF_ow*(1/365)*ED_out*RadSpec!S13*ET_ow_o*(1/24)*RadSpec!W13))*1,".")</f>
        <v>4.714912580865259</v>
      </c>
      <c r="K13" s="22">
        <f>IFERROR((TR/(RadSpec!O13*EF_ow*(1/365)*ED_out*RadSpec!T13*ET_ow_o*(1/24)*RadSpec!X13))*1,".")</f>
        <v>3.7804831940906025</v>
      </c>
      <c r="L13" s="22">
        <f>IFERROR((TR/(RadSpec!K13*EF_ow*(1/365)*ED_out*RadSpec!P13*ET_ow_o*(1/24)*RadSpec!U13))*1,".")</f>
        <v>9.2621838255219728</v>
      </c>
      <c r="M13" s="22">
        <f>IFERROR(TR/(RadSpec!G13*EF_ow*ED_out*ET_ow_o*(1/24)*IRA_ow),".")</f>
        <v>3.0998740676160027E-4</v>
      </c>
      <c r="N13" s="22">
        <f>IFERROR(TR/(RadSpec!J13*EF_ow*(1/365)*ED_out*ET_ow_o*(1/24)*GSF_a),".")</f>
        <v>2537.5846097320482</v>
      </c>
      <c r="O13" s="22">
        <f t="shared" ref="O13:O14" si="13">IFERROR(IF(AND(ISNUMBER(M13),ISNUMBER(N13)),1/((1/M13)+(1/N13)),IF(AND(ISNUMBER(M13),NOT(ISNUMBER(N13))),1/((1/M13)),IF(AND(NOT(ISNUMBER(M13)),ISNUMBER(N13)),1/((1/N13)),IF(AND(NOT(ISNUMBER(M13)),NOT(ISNUMBER(N13))),".")))),".")</f>
        <v>3.0998736889402325E-4</v>
      </c>
    </row>
    <row r="14" spans="1:15" ht="15" customHeight="1" x14ac:dyDescent="0.25">
      <c r="A14" s="23" t="s">
        <v>24</v>
      </c>
      <c r="B14" s="24" t="s">
        <v>289</v>
      </c>
      <c r="C14" s="2"/>
      <c r="D14" s="22">
        <f>IFERROR((TR/(RadSpec!I14*EF_ow*ED_out*IRS_ow*(1/1000)))*1,".")</f>
        <v>688.36745054510095</v>
      </c>
      <c r="E14" s="22">
        <f>IFERROR(IF(A14="H-3",(TR/(RadSpec!G14*EF_ow*ED_out*ET_ow_o*(1/24)*IRA_ow*(1/17)*1000))*1,(TR/(RadSpec!G14*EF_ow*ED_out*ET_ow_o*(1/24)*IRA_ow*(1/PEF_wind)*1000))*1),".")</f>
        <v>790724.55908582697</v>
      </c>
      <c r="F14" s="22">
        <f>IFERROR((TR/(RadSpec!F14*EF_ow*(1/365)*ED_out*RadSpec!Q14*ET_ow_o*(1/24)*RadSpec!V14))*1,".")</f>
        <v>0.24232457683051681</v>
      </c>
      <c r="G14" s="22">
        <f t="shared" si="12"/>
        <v>0.24223922761742417</v>
      </c>
      <c r="H14" s="22">
        <f>IFERROR((TR/(RadSpec!F14*EF_ow*(1/365)*ED_out*RadSpec!Q14*ET_ow_o*(1/24)*RadSpec!V14))*1,".")</f>
        <v>0.24232457683051681</v>
      </c>
      <c r="I14" s="22">
        <f>IFERROR((TR/(RadSpec!M14*EF_ow*(1/365)*ED_out*RadSpec!R14*ET_ow_o*(1/24)*RadSpec!W14)*1),".")</f>
        <v>1.0215643925208064</v>
      </c>
      <c r="J14" s="22">
        <f>IFERROR((TR/(RadSpec!N14*EF_ow*(1/365)*ED_out*RadSpec!S14*ET_ow_o*(1/24)*RadSpec!W14))*1,".")</f>
        <v>0.37214131441829357</v>
      </c>
      <c r="K14" s="22">
        <f>IFERROR((TR/(RadSpec!O14*EF_ow*(1/365)*ED_out*RadSpec!T14*ET_ow_o*(1/24)*RadSpec!X14))*1,".")</f>
        <v>0.25609724863194405</v>
      </c>
      <c r="L14" s="22">
        <f>IFERROR((TR/(RadSpec!K14*EF_ow*(1/365)*ED_out*RadSpec!P14*ET_ow_o*(1/24)*RadSpec!U14))*1,".")</f>
        <v>1.0355236575117737</v>
      </c>
      <c r="M14" s="22">
        <f>IFERROR(TR/(RadSpec!G14*EF_ow*ED_out*ET_ow_o*(1/24)*IRA_ow),".")</f>
        <v>0.58169549694973421</v>
      </c>
      <c r="N14" s="22">
        <f>IFERROR(TR/(RadSpec!J14*EF_ow*(1/365)*ED_out*ET_ow_o*(1/24)*GSF_a),".")</f>
        <v>228.07018995813345</v>
      </c>
      <c r="O14" s="22">
        <f t="shared" si="13"/>
        <v>0.58021565063008484</v>
      </c>
    </row>
    <row r="15" spans="1:15" ht="15" customHeight="1" x14ac:dyDescent="0.25">
      <c r="A15" s="23" t="s">
        <v>25</v>
      </c>
      <c r="B15" s="24" t="s">
        <v>289</v>
      </c>
      <c r="C15" s="2"/>
      <c r="D15" s="22">
        <f>IFERROR((TR/(RadSpec!I15*EF_ow*ED_out*IRS_ow*(1/1000)))*1,".")</f>
        <v>14560.014560014559</v>
      </c>
      <c r="E15" s="22">
        <f>IFERROR(IF(A15="H-3",(TR/(RadSpec!G15*EF_ow*ED_out*ET_ow_o*(1/24)*IRA_ow*(1/17)*1000))*1,(TR/(RadSpec!G15*EF_ow*ED_out*ET_ow_o*(1/24)*IRA_ow*(1/PEF_wind)*1000))*1),".")</f>
        <v>58108406.210399762</v>
      </c>
      <c r="F15" s="22">
        <f>IFERROR((TR/(RadSpec!F15*EF_ow*(1/365)*ED_out*RadSpec!Q15*ET_ow_o*(1/24)*RadSpec!V15))*1,".")</f>
        <v>402.70364458791198</v>
      </c>
      <c r="G15" s="22">
        <f t="shared" ref="G15:G17" si="14">(IF(AND(ISNUMBER(D15),ISNUMBER(E15),ISNUMBER(F15)),1/((1/D15)+(1/E15)+(1/F15)),IF(AND(ISNUMBER(D15),ISNUMBER(E15),NOT(ISNUMBER(F15))), 1/((1/D15)+(1/E15)),IF(AND(ISNUMBER(D15),NOT(ISNUMBER(E15)),ISNUMBER(F15)),1/((1/D15)+(1/F15)),IF(AND(NOT(ISNUMBER(D15)),ISNUMBER(E15),ISNUMBER(F15)),1/((1/E15)+(1/F15)),IF(AND(ISNUMBER(D15),NOT(ISNUMBER(E15)),NOT(ISNUMBER(F15))),1/((1/D15)),IF(AND(NOT(ISNUMBER(D15)),NOT(ISNUMBER(E15)),ISNUMBER(F15)),1/((1/F15)),IF(AND(NOT(ISNUMBER(D15)),ISNUMBER(E15),NOT(ISNUMBER(F15))),1/((1/E15)),IF(AND(NOT(ISNUMBER(D15)),NOT(ISNUMBER(E15)),NOT(ISNUMBER(F15))),".")))))))))</f>
        <v>391.86271557596126</v>
      </c>
      <c r="H15" s="22">
        <f>IFERROR((TR/(RadSpec!F15*EF_ow*(1/365)*ED_out*RadSpec!Q15*ET_ow_o*(1/24)*RadSpec!V15))*1,".")</f>
        <v>402.70364458791198</v>
      </c>
      <c r="I15" s="22">
        <f>IFERROR((TR/(RadSpec!M15*EF_ow*(1/365)*ED_out*RadSpec!R15*ET_ow_o*(1/24)*RadSpec!W15)*1),".")</f>
        <v>1173.9142998126711</v>
      </c>
      <c r="J15" s="22">
        <f>IFERROR((TR/(RadSpec!N15*EF_ow*(1/365)*ED_out*RadSpec!S15*ET_ow_o*(1/24)*RadSpec!W15))*1,".")</f>
        <v>519.18070770863085</v>
      </c>
      <c r="K15" s="22">
        <f>IFERROR((TR/(RadSpec!O15*EF_ow*(1/365)*ED_out*RadSpec!T15*ET_ow_o*(1/24)*RadSpec!X15))*1,".")</f>
        <v>408.92643821289067</v>
      </c>
      <c r="L15" s="22">
        <f>IFERROR((TR/(RadSpec!K15*EF_ow*(1/365)*ED_out*RadSpec!P15*ET_ow_o*(1/24)*RadSpec!U15))*1,".")</f>
        <v>382.73486882322203</v>
      </c>
      <c r="M15" s="22">
        <f>IFERROR(TR/(RadSpec!G15*EF_ow*ED_out*ET_ow_o*(1/24)*IRA_ow),".")</f>
        <v>42.747373708227812</v>
      </c>
      <c r="N15" s="22">
        <f>IFERROR(TR/(RadSpec!J15*EF_ow*(1/365)*ED_out*ET_ow_o*(1/24)*GSF_a),".")</f>
        <v>114191.30743794216</v>
      </c>
      <c r="O15" s="22">
        <f t="shared" ref="O15:O17" si="15">IFERROR(IF(AND(ISNUMBER(M15),ISNUMBER(N15)),1/((1/M15)+(1/N15)),IF(AND(ISNUMBER(M15),NOT(ISNUMBER(N15))),1/((1/M15)),IF(AND(NOT(ISNUMBER(M15)),ISNUMBER(N15)),1/((1/N15)),IF(AND(NOT(ISNUMBER(M15)),NOT(ISNUMBER(N15))),".")))),".")</f>
        <v>42.731377270370778</v>
      </c>
    </row>
    <row r="16" spans="1:15" ht="15" customHeight="1" x14ac:dyDescent="0.25">
      <c r="A16" s="23" t="s">
        <v>26</v>
      </c>
      <c r="B16" s="24" t="s">
        <v>289</v>
      </c>
      <c r="C16" s="109"/>
      <c r="D16" s="22">
        <f>IFERROR((TR/(RadSpec!I16*EF_ow*ED_out*IRS_ow*(1/1000)))*1,".")</f>
        <v>2.9659288918548175</v>
      </c>
      <c r="E16" s="22">
        <f>IFERROR(IF(A16="H-3",(TR/(RadSpec!G16*EF_ow*ED_out*ET_ow_o*(1/24)*IRA_ow*(1/17)*1000))*1,(TR/(RadSpec!G16*EF_ow*ED_out*ET_ow_o*(1/24)*IRA_ow*(1/PEF_wind)*1000))*1),".")</f>
        <v>761.23366643926954</v>
      </c>
      <c r="F16" s="22">
        <f>IFERROR((TR/(RadSpec!F16*EF_ow*(1/365)*ED_out*RadSpec!Q16*ET_ow_o*(1/24)*RadSpec!V16))*1,".")</f>
        <v>131.27504634598077</v>
      </c>
      <c r="G16" s="22">
        <f t="shared" si="14"/>
        <v>2.889390510464112</v>
      </c>
      <c r="H16" s="22">
        <f>IFERROR((TR/(RadSpec!F16*EF_ow*(1/365)*ED_out*RadSpec!Q16*ET_ow_o*(1/24)*RadSpec!V16))*1,".")</f>
        <v>131.27504634598077</v>
      </c>
      <c r="I16" s="22">
        <f>IFERROR((TR/(RadSpec!M16*EF_ow*(1/365)*ED_out*RadSpec!R16*ET_ow_o*(1/24)*RadSpec!W16)*1),".")</f>
        <v>204.3128785041612</v>
      </c>
      <c r="J16" s="22">
        <f>IFERROR((TR/(RadSpec!N16*EF_ow*(1/365)*ED_out*RadSpec!S16*ET_ow_o*(1/24)*RadSpec!W16))*1,".")</f>
        <v>132.73830323200283</v>
      </c>
      <c r="K16" s="22">
        <f>IFERROR((TR/(RadSpec!O16*EF_ow*(1/365)*ED_out*RadSpec!T16*ET_ow_o*(1/24)*RadSpec!X16))*1,".")</f>
        <v>131.27504634598077</v>
      </c>
      <c r="L16" s="22">
        <f>IFERROR((TR/(RadSpec!K16*EF_ow*(1/365)*ED_out*RadSpec!P16*ET_ow_o*(1/24)*RadSpec!U16))*1,".")</f>
        <v>113.41449582271808</v>
      </c>
      <c r="M16" s="22">
        <f>IFERROR(TR/(RadSpec!G16*EF_ow*ED_out*ET_ow_o*(1/24)*IRA_ow),".")</f>
        <v>5.6000056000056009E-4</v>
      </c>
      <c r="N16" s="22">
        <f>IFERROR(TR/(RadSpec!J16*EF_ow*(1/365)*ED_out*ET_ow_o*(1/24)*GSF_a),".")</f>
        <v>49471.605002788005</v>
      </c>
      <c r="O16" s="22">
        <f t="shared" si="15"/>
        <v>5.6000055366155774E-4</v>
      </c>
    </row>
    <row r="17" spans="1:15" ht="15" customHeight="1" x14ac:dyDescent="0.25">
      <c r="A17" s="23" t="s">
        <v>27</v>
      </c>
      <c r="B17" s="24" t="s">
        <v>289</v>
      </c>
      <c r="C17" s="109"/>
      <c r="D17" s="22">
        <f>IFERROR((TR/(RadSpec!I17*EF_ow*ED_out*IRS_ow*(1/1000)))*1,".")</f>
        <v>8061.7530281959816</v>
      </c>
      <c r="E17" s="22">
        <f>IFERROR(IF(A17="H-3",(TR/(RadSpec!G17*EF_ow*ED_out*ET_ow_o*(1/24)*IRA_ow*(1/17)*1000))*1,(TR/(RadSpec!G17*EF_ow*ED_out*ET_ow_o*(1/24)*IRA_ow*(1/PEF_wind)*1000))*1),".")</f>
        <v>155509.16328687931</v>
      </c>
      <c r="F17" s="22">
        <f>IFERROR((TR/(RadSpec!F17*EF_ow*(1/365)*ED_out*RadSpec!Q17*ET_ow_o*(1/24)*RadSpec!V17))*1,".")</f>
        <v>0.1959098811508761</v>
      </c>
      <c r="G17" s="22">
        <f t="shared" si="14"/>
        <v>0.19590487363662459</v>
      </c>
      <c r="H17" s="22">
        <f>IFERROR((TR/(RadSpec!F17*EF_ow*(1/365)*ED_out*RadSpec!Q17*ET_ow_o*(1/24)*RadSpec!V17))*1,".")</f>
        <v>0.1959098811508761</v>
      </c>
      <c r="I17" s="22">
        <f>IFERROR((TR/(RadSpec!M17*EF_ow*(1/365)*ED_out*RadSpec!R17*ET_ow_o*(1/24)*RadSpec!W17)*1),".")</f>
        <v>0.86115345485224992</v>
      </c>
      <c r="J17" s="22">
        <f>IFERROR((TR/(RadSpec!N17*EF_ow*(1/365)*ED_out*RadSpec!S17*ET_ow_o*(1/24)*RadSpec!W17))*1,".")</f>
        <v>0.309197531267425</v>
      </c>
      <c r="K17" s="22">
        <f>IFERROR((TR/(RadSpec!O17*EF_ow*(1/365)*ED_out*RadSpec!T17*ET_ow_o*(1/24)*RadSpec!X17))*1,".")</f>
        <v>0.20918357447853897</v>
      </c>
      <c r="L17" s="22">
        <f>IFERROR((TR/(RadSpec!K17*EF_ow*(1/365)*ED_out*RadSpec!P17*ET_ow_o*(1/24)*RadSpec!U17))*1,".")</f>
        <v>0.87287596261463651</v>
      </c>
      <c r="M17" s="22">
        <f>IFERROR(TR/(RadSpec!G17*EF_ow*ED_out*ET_ow_o*(1/24)*IRA_ow),".")</f>
        <v>0.11440011440011438</v>
      </c>
      <c r="N17" s="22">
        <f>IFERROR(TR/(RadSpec!J17*EF_ow*(1/365)*ED_out*ET_ow_o*(1/24)*GSF_a),".")</f>
        <v>190.97286238189639</v>
      </c>
      <c r="O17" s="22">
        <f t="shared" si="15"/>
        <v>0.11433162534436159</v>
      </c>
    </row>
    <row r="18" spans="1:15" ht="15" customHeight="1" x14ac:dyDescent="0.25">
      <c r="A18" s="23" t="s">
        <v>28</v>
      </c>
      <c r="B18" s="24" t="s">
        <v>289</v>
      </c>
      <c r="C18" s="109"/>
      <c r="D18" s="22">
        <f>IFERROR((TR/(RadSpec!I18*EF_ow*ED_out*IRS_ow*(1/1000)))*1,".")</f>
        <v>1.2383517538156712</v>
      </c>
      <c r="E18" s="22">
        <f>IFERROR(IF(A18="H-3",(TR/(RadSpec!G18*EF_ow*ED_out*ET_ow_o*(1/24)*IRA_ow*(1/17)*1000))*1,(TR/(RadSpec!G18*EF_ow*ED_out*ET_ow_o*(1/24)*IRA_ow*(1/PEF_wind)*1000))*1),".")</f>
        <v>833.08480332256772</v>
      </c>
      <c r="F18" s="22">
        <f>IFERROR((TR/(RadSpec!F18*EF_ow*(1/365)*ED_out*RadSpec!Q18*ET_ow_o*(1/24)*RadSpec!V18))*1,".")</f>
        <v>4319.1530792589529</v>
      </c>
      <c r="G18" s="22">
        <f t="shared" ref="G18:G21" si="16">(IF(AND(ISNUMBER(D18),ISNUMBER(E18),ISNUMBER(F18)),1/((1/D18)+(1/E18)+(1/F18)),IF(AND(ISNUMBER(D18),ISNUMBER(E18),NOT(ISNUMBER(F18))), 1/((1/D18)+(1/E18)),IF(AND(ISNUMBER(D18),NOT(ISNUMBER(E18)),ISNUMBER(F18)),1/((1/D18)+(1/F18)),IF(AND(NOT(ISNUMBER(D18)),ISNUMBER(E18),ISNUMBER(F18)),1/((1/E18)+(1/F18)),IF(AND(ISNUMBER(D18),NOT(ISNUMBER(E18)),NOT(ISNUMBER(F18))),1/((1/D18)),IF(AND(NOT(ISNUMBER(D18)),NOT(ISNUMBER(E18)),ISNUMBER(F18)),1/((1/F18)),IF(AND(NOT(ISNUMBER(D18)),ISNUMBER(E18),NOT(ISNUMBER(F18))),1/((1/E18)),IF(AND(NOT(ISNUMBER(D18)),NOT(ISNUMBER(E18)),NOT(ISNUMBER(F18))),".")))))))))</f>
        <v>1.2361598234882729</v>
      </c>
      <c r="H18" s="22">
        <f>IFERROR((TR/(RadSpec!F18*EF_ow*(1/365)*ED_out*RadSpec!Q18*ET_ow_o*(1/24)*RadSpec!V18))*1,".")</f>
        <v>4319.1530792589529</v>
      </c>
      <c r="I18" s="22">
        <f>IFERROR((TR/(RadSpec!M18*EF_ow*(1/365)*ED_out*RadSpec!R18*ET_ow_o*(1/24)*RadSpec!W18)*1),".")</f>
        <v>21753.563264534911</v>
      </c>
      <c r="J18" s="22">
        <f>IFERROR((TR/(RadSpec!N18*EF_ow*(1/365)*ED_out*RadSpec!S18*ET_ow_o*(1/24)*RadSpec!W18))*1,".")</f>
        <v>7661.7329439060477</v>
      </c>
      <c r="K18" s="22">
        <f>IFERROR((TR/(RadSpec!O18*EF_ow*(1/365)*ED_out*RadSpec!T18*ET_ow_o*(1/24)*RadSpec!X18))*1,".")</f>
        <v>4917.9737126665359</v>
      </c>
      <c r="L18" s="22">
        <f>IFERROR((TR/(RadSpec!K18*EF_ow*(1/365)*ED_out*RadSpec!P18*ET_ow_o*(1/24)*RadSpec!U18))*1,".")</f>
        <v>22378.430719381951</v>
      </c>
      <c r="M18" s="22">
        <f>IFERROR(TR/(RadSpec!G18*EF_ow*ED_out*ET_ow_o*(1/24)*IRA_ow),".")</f>
        <v>6.128577557148985E-4</v>
      </c>
      <c r="N18" s="22">
        <f>IFERROR(TR/(RadSpec!J18*EF_ow*(1/365)*ED_out*ET_ow_o*(1/24)*GSF_a),".")</f>
        <v>4656963.9346199874</v>
      </c>
      <c r="O18" s="22">
        <f t="shared" ref="O18:O21" si="17">IFERROR(IF(AND(ISNUMBER(M18),ISNUMBER(N18)),1/((1/M18)+(1/N18)),IF(AND(ISNUMBER(M18),NOT(ISNUMBER(N18))),1/((1/M18)),IF(AND(NOT(ISNUMBER(M18)),ISNUMBER(N18)),1/((1/N18)),IF(AND(NOT(ISNUMBER(M18)),NOT(ISNUMBER(N18))),".")))),".")</f>
        <v>6.1285775563424622E-4</v>
      </c>
    </row>
    <row r="19" spans="1:15" ht="15" customHeight="1" x14ac:dyDescent="0.25">
      <c r="A19" s="23" t="s">
        <v>29</v>
      </c>
      <c r="B19" s="24" t="s">
        <v>289</v>
      </c>
      <c r="C19" s="2"/>
      <c r="D19" s="22" t="str">
        <f>IFERROR((TR/(RadSpec!I19*EF_ow*ED_out*IRS_ow*(1/1000)))*1,".")</f>
        <v>.</v>
      </c>
      <c r="E19" s="22" t="str">
        <f>IFERROR(IF(A19="H-3",(TR/(RadSpec!G19*EF_ow*ED_out*ET_ow_o*(1/24)*IRA_ow*(1/17)*1000))*1,(TR/(RadSpec!G19*EF_ow*ED_out*ET_ow_o*(1/24)*IRA_ow*(1/PEF_wind)*1000))*1),".")</f>
        <v>.</v>
      </c>
      <c r="F19" s="22">
        <f>IFERROR((TR/(RadSpec!F19*EF_ow*(1/365)*ED_out*RadSpec!Q19*ET_ow_o*(1/24)*RadSpec!V19))*1,".")</f>
        <v>1126.4818166175373</v>
      </c>
      <c r="G19" s="22">
        <f t="shared" si="16"/>
        <v>1126.4818166175373</v>
      </c>
      <c r="H19" s="22">
        <f>IFERROR((TR/(RadSpec!F19*EF_ow*(1/365)*ED_out*RadSpec!Q19*ET_ow_o*(1/24)*RadSpec!V19))*1,".")</f>
        <v>1126.4818166175373</v>
      </c>
      <c r="I19" s="22">
        <f>IFERROR((TR/(RadSpec!M19*EF_ow*(1/365)*ED_out*RadSpec!R19*ET_ow_o*(1/24)*RadSpec!W19)*1),".")</f>
        <v>5632.4090830876876</v>
      </c>
      <c r="J19" s="22">
        <f>IFERROR((TR/(RadSpec!N19*EF_ow*(1/365)*ED_out*RadSpec!S19*ET_ow_o*(1/24)*RadSpec!W19))*1,".")</f>
        <v>1999.9917089658779</v>
      </c>
      <c r="K19" s="22">
        <f>IFERROR((TR/(RadSpec!O19*EF_ow*(1/365)*ED_out*RadSpec!T19*ET_ow_o*(1/24)*RadSpec!X19))*1,".")</f>
        <v>1282.4562219953505</v>
      </c>
      <c r="L19" s="22">
        <f>IFERROR((TR/(RadSpec!K19*EF_ow*(1/365)*ED_out*RadSpec!P19*ET_ow_o*(1/24)*RadSpec!U19))*1,".")</f>
        <v>5788.8648909512331</v>
      </c>
      <c r="M19" s="22" t="str">
        <f>IFERROR(TR/(RadSpec!G19*EF_ow*ED_out*ET_ow_o*(1/24)*IRA_ow),".")</f>
        <v>.</v>
      </c>
      <c r="N19" s="22">
        <f>IFERROR(TR/(RadSpec!J19*EF_ow*(1/365)*ED_out*ET_ow_o*(1/24)*GSF_a),".")</f>
        <v>1208110.9337637357</v>
      </c>
      <c r="O19" s="22">
        <f t="shared" si="17"/>
        <v>1208110.9337637357</v>
      </c>
    </row>
    <row r="20" spans="1:15" ht="15" customHeight="1" x14ac:dyDescent="0.25">
      <c r="A20" s="23" t="s">
        <v>30</v>
      </c>
      <c r="B20" s="24" t="s">
        <v>289</v>
      </c>
      <c r="C20" s="109"/>
      <c r="D20" s="22" t="str">
        <f>IFERROR((TR/(RadSpec!I20*EF_ow*ED_out*IRS_ow*(1/1000)))*1,".")</f>
        <v>.</v>
      </c>
      <c r="E20" s="22" t="str">
        <f>IFERROR(IF(A20="H-3",(TR/(RadSpec!G20*EF_ow*ED_out*ET_ow_o*(1/24)*IRA_ow*(1/17)*1000))*1,(TR/(RadSpec!G20*EF_ow*ED_out*ET_ow_o*(1/24)*IRA_ow*(1/PEF_wind)*1000))*1),".")</f>
        <v>.</v>
      </c>
      <c r="F20" s="22">
        <f>IFERROR((TR/(RadSpec!F20*EF_ow*(1/365)*ED_out*RadSpec!Q20*ET_ow_o*(1/24)*RadSpec!V20))*1,".")</f>
        <v>505.21002684665325</v>
      </c>
      <c r="G20" s="22">
        <f t="shared" si="16"/>
        <v>505.21002684665319</v>
      </c>
      <c r="H20" s="22">
        <f>IFERROR((TR/(RadSpec!F20*EF_ow*(1/365)*ED_out*RadSpec!Q20*ET_ow_o*(1/24)*RadSpec!V20))*1,".")</f>
        <v>505.21002684665325</v>
      </c>
      <c r="I20" s="22">
        <f>IFERROR((TR/(RadSpec!M20*EF_ow*(1/365)*ED_out*RadSpec!R20*ET_ow_o*(1/24)*RadSpec!W20)*1),".")</f>
        <v>2553.9109813020154</v>
      </c>
      <c r="J20" s="22">
        <f>IFERROR((TR/(RadSpec!N20*EF_ow*(1/365)*ED_out*RadSpec!S20*ET_ow_o*(1/24)*RadSpec!W20))*1,".")</f>
        <v>906.08320032280199</v>
      </c>
      <c r="K20" s="22">
        <f>IFERROR((TR/(RadSpec!O20*EF_ow*(1/365)*ED_out*RadSpec!T20*ET_ow_o*(1/24)*RadSpec!X20))*1,".")</f>
        <v>576.88342165880817</v>
      </c>
      <c r="L20" s="22">
        <f>IFERROR((TR/(RadSpec!K20*EF_ow*(1/365)*ED_out*RadSpec!P20*ET_ow_o*(1/24)*RadSpec!U20))*1,".")</f>
        <v>2621.3727808081062</v>
      </c>
      <c r="M20" s="22" t="str">
        <f>IFERROR(TR/(RadSpec!G20*EF_ow*ED_out*ET_ow_o*(1/24)*IRA_ow),".")</f>
        <v>.</v>
      </c>
      <c r="N20" s="22">
        <f>IFERROR(TR/(RadSpec!J20*EF_ow*(1/365)*ED_out*ET_ow_o*(1/24)*GSF_a),".")</f>
        <v>544834.34267776331</v>
      </c>
      <c r="O20" s="22">
        <f t="shared" si="17"/>
        <v>544834.34267776331</v>
      </c>
    </row>
    <row r="21" spans="1:15" ht="15" customHeight="1" x14ac:dyDescent="0.25">
      <c r="A21" s="23" t="s">
        <v>31</v>
      </c>
      <c r="B21" s="24" t="s">
        <v>289</v>
      </c>
      <c r="C21" s="109"/>
      <c r="D21" s="22" t="str">
        <f>IFERROR((TR/(RadSpec!I21*EF_ow*ED_out*IRS_ow*(1/1000)))*1,".")</f>
        <v>.</v>
      </c>
      <c r="E21" s="22">
        <f>IFERROR(IF(A21="H-3",(TR/(RadSpec!G21*EF_ow*ED_out*ET_ow_o*(1/24)*IRA_ow*(1/17)*1000))*1,(TR/(RadSpec!G21*EF_ow*ED_out*ET_ow_o*(1/24)*IRA_ow*(1/PEF_wind)*1000))*1),".")</f>
        <v>869285.03506406629</v>
      </c>
      <c r="F21" s="22">
        <f>IFERROR((TR/(RadSpec!F21*EF_ow*(1/365)*ED_out*RadSpec!Q21*ET_ow_o*(1/24)*RadSpec!V21))*1,".")</f>
        <v>31611548.892566469</v>
      </c>
      <c r="G21" s="22">
        <f t="shared" si="16"/>
        <v>846020.3469138178</v>
      </c>
      <c r="H21" s="22">
        <f>IFERROR((TR/(RadSpec!F21*EF_ow*(1/365)*ED_out*RadSpec!Q21*ET_ow_o*(1/24)*RadSpec!V21))*1,".")</f>
        <v>31611548.892566469</v>
      </c>
      <c r="I21" s="22">
        <f>IFERROR((TR/(RadSpec!M21*EF_ow*(1/365)*ED_out*RadSpec!R21*ET_ow_o*(1/24)*RadSpec!W21)*1),".")</f>
        <v>68507276.81599094</v>
      </c>
      <c r="J21" s="22">
        <f>IFERROR((TR/(RadSpec!N21*EF_ow*(1/365)*ED_out*RadSpec!S21*ET_ow_o*(1/24)*RadSpec!W21))*1,".")</f>
        <v>36180405.568445213</v>
      </c>
      <c r="K21" s="22">
        <f>IFERROR((TR/(RadSpec!O21*EF_ow*(1/365)*ED_out*RadSpec!T21*ET_ow_o*(1/24)*RadSpec!X21))*1,".")</f>
        <v>31719807.621650603</v>
      </c>
      <c r="L21" s="22">
        <f>IFERROR((TR/(RadSpec!K21*EF_ow*(1/365)*ED_out*RadSpec!P21*ET_ow_o*(1/24)*RadSpec!U21))*1,".")</f>
        <v>40802571.918599017</v>
      </c>
      <c r="M21" s="22">
        <f>IFERROR(TR/(RadSpec!G21*EF_ow*ED_out*ET_ow_o*(1/24)*IRA_ow),".")</f>
        <v>0.63948840927258188</v>
      </c>
      <c r="N21" s="22">
        <f>IFERROR(TR/(RadSpec!J21*EF_ow*(1/365)*ED_out*ET_ow_o*(1/24)*GSF_a),".")</f>
        <v>4932523930.7513466</v>
      </c>
      <c r="O21" s="22">
        <f t="shared" si="17"/>
        <v>0.63948840918967387</v>
      </c>
    </row>
    <row r="22" spans="1:15" ht="15" customHeight="1" x14ac:dyDescent="0.25">
      <c r="A22" s="23" t="s">
        <v>32</v>
      </c>
      <c r="B22" s="24" t="s">
        <v>289</v>
      </c>
      <c r="C22" s="2"/>
      <c r="D22" s="22">
        <f>IFERROR((TR/(RadSpec!I22*EF_ow*ED_out*IRS_ow*(1/1000)))*1,".")</f>
        <v>23.904501516441819</v>
      </c>
      <c r="E22" s="22">
        <f>IFERROR(IF(A22="H-3",(TR/(RadSpec!G22*EF_ow*ED_out*ET_ow_o*(1/24)*IRA_ow*(1/17)*1000))*1,(TR/(RadSpec!G22*EF_ow*ED_out*ET_ow_o*(1/24)*IRA_ow*(1/PEF_wind)*1000))*1),".")</f>
        <v>461.90840580261192</v>
      </c>
      <c r="F22" s="22">
        <f>IFERROR((TR/(RadSpec!F22*EF_ow*(1/365)*ED_out*RadSpec!Q22*ET_ow_o*(1/24)*RadSpec!V22))*1,".")</f>
        <v>31.877496913842361</v>
      </c>
      <c r="G22" s="22">
        <f t="shared" ref="G22:G23" si="18">(IF(AND(ISNUMBER(D22),ISNUMBER(E22),ISNUMBER(F22)),1/((1/D22)+(1/E22)+(1/F22)),IF(AND(ISNUMBER(D22),ISNUMBER(E22),NOT(ISNUMBER(F22))), 1/((1/D22)+(1/E22)),IF(AND(ISNUMBER(D22),NOT(ISNUMBER(E22)),ISNUMBER(F22)),1/((1/D22)+(1/F22)),IF(AND(NOT(ISNUMBER(D22)),ISNUMBER(E22),ISNUMBER(F22)),1/((1/E22)+(1/F22)),IF(AND(ISNUMBER(D22),NOT(ISNUMBER(E22)),NOT(ISNUMBER(F22))),1/((1/D22)),IF(AND(NOT(ISNUMBER(D22)),NOT(ISNUMBER(E22)),ISNUMBER(F22)),1/((1/F22)),IF(AND(NOT(ISNUMBER(D22)),ISNUMBER(E22),NOT(ISNUMBER(F22))),1/((1/E22)),IF(AND(NOT(ISNUMBER(D22)),NOT(ISNUMBER(E22)),NOT(ISNUMBER(F22))),".")))))))))</f>
        <v>13.268204488335746</v>
      </c>
      <c r="H22" s="22">
        <f>IFERROR((TR/(RadSpec!F22*EF_ow*(1/365)*ED_out*RadSpec!Q22*ET_ow_o*(1/24)*RadSpec!V22))*1,".")</f>
        <v>31.877496913842361</v>
      </c>
      <c r="I22" s="22">
        <f>IFERROR((TR/(RadSpec!M22*EF_ow*(1/365)*ED_out*RadSpec!R22*ET_ow_o*(1/24)*RadSpec!W22)*1),".")</f>
        <v>43.78133110803455</v>
      </c>
      <c r="J22" s="22">
        <f>IFERROR((TR/(RadSpec!N22*EF_ow*(1/365)*ED_out*RadSpec!S22*ET_ow_o*(1/24)*RadSpec!W22))*1,".")</f>
        <v>32.061405549883766</v>
      </c>
      <c r="K22" s="22">
        <f>IFERROR((TR/(RadSpec!O22*EF_ow*(1/365)*ED_out*RadSpec!T22*ET_ow_o*(1/24)*RadSpec!X22))*1,".")</f>
        <v>31.938564915593016</v>
      </c>
      <c r="L22" s="22">
        <f>IFERROR((TR/(RadSpec!K22*EF_ow*(1/365)*ED_out*RadSpec!P22*ET_ow_o*(1/24)*RadSpec!U22))*1,".")</f>
        <v>22.023686771386469</v>
      </c>
      <c r="M22" s="22">
        <f>IFERROR(TR/(RadSpec!G22*EF_ow*ED_out*ET_ow_o*(1/24)*IRA_ow),".")</f>
        <v>3.3980232000033986E-4</v>
      </c>
      <c r="N22" s="22">
        <f>IFERROR(TR/(RadSpec!J22*EF_ow*(1/365)*ED_out*ET_ow_o*(1/24)*GSF_a),".")</f>
        <v>10551.854991100987</v>
      </c>
      <c r="O22" s="22">
        <f t="shared" ref="O22:O23" si="19">IFERROR(IF(AND(ISNUMBER(M22),ISNUMBER(N22)),1/((1/M22)+(1/N22)),IF(AND(ISNUMBER(M22),NOT(ISNUMBER(N22))),1/((1/M22)),IF(AND(NOT(ISNUMBER(M22)),ISNUMBER(N22)),1/((1/N22)),IF(AND(NOT(ISNUMBER(M22)),NOT(ISNUMBER(N22))),".")))),".")</f>
        <v>3.3980230905765609E-4</v>
      </c>
    </row>
    <row r="23" spans="1:15" ht="15" customHeight="1" x14ac:dyDescent="0.25">
      <c r="A23" s="25" t="s">
        <v>33</v>
      </c>
      <c r="B23" s="24" t="s">
        <v>275</v>
      </c>
      <c r="C23" s="109"/>
      <c r="D23" s="22">
        <f>IFERROR((TR/(RadSpec!I23*EF_ow*ED_out*IRS_ow*(1/1000)))*1,".")</f>
        <v>6.0361869407095536</v>
      </c>
      <c r="E23" s="22">
        <f>IFERROR(IF(A23="H-3",(TR/(RadSpec!G23*EF_ow*ED_out*ET_ow_o*(1/24)*IRA_ow*(1/17)*1000))*1,(TR/(RadSpec!G23*EF_ow*ED_out*ET_ow_o*(1/24)*IRA_ow*(1/PEF_wind)*1000))*1),".")</f>
        <v>429.13172523317553</v>
      </c>
      <c r="F23" s="22">
        <f>IFERROR((TR/(RadSpec!F23*EF_ow*(1/365)*ED_out*RadSpec!Q23*ET_ow_o*(1/24)*RadSpec!V23))*1,".")</f>
        <v>7.7906219093175482</v>
      </c>
      <c r="G23" s="22">
        <f t="shared" si="18"/>
        <v>3.3743059095107175</v>
      </c>
      <c r="H23" s="22">
        <f>IFERROR((TR/(RadSpec!F23*EF_ow*(1/365)*ED_out*RadSpec!Q23*ET_ow_o*(1/24)*RadSpec!V23))*1,".")</f>
        <v>7.7906219093175482</v>
      </c>
      <c r="I23" s="22">
        <f>IFERROR((TR/(RadSpec!M23*EF_ow*(1/365)*ED_out*RadSpec!R23*ET_ow_o*(1/24)*RadSpec!W23)*1),".")</f>
        <v>30.737335704165851</v>
      </c>
      <c r="J23" s="22">
        <f>IFERROR((TR/(RadSpec!N23*EF_ow*(1/365)*ED_out*RadSpec!S23*ET_ow_o*(1/24)*RadSpec!W23))*1,".")</f>
        <v>11.242030266985541</v>
      </c>
      <c r="K23" s="22">
        <f>IFERROR((TR/(RadSpec!O23*EF_ow*(1/365)*ED_out*RadSpec!T23*ET_ow_o*(1/24)*RadSpec!X23))*1,".")</f>
        <v>8.0153513874709414</v>
      </c>
      <c r="L23" s="22">
        <f>IFERROR((TR/(RadSpec!K23*EF_ow*(1/365)*ED_out*RadSpec!P23*ET_ow_o*(1/24)*RadSpec!U23))*1,".")</f>
        <v>31.162487637270193</v>
      </c>
      <c r="M23" s="22">
        <f>IFERROR(TR/(RadSpec!G23*EF_ow*ED_out*ET_ow_o*(1/24)*IRA_ow),".")</f>
        <v>3.1569019742475724E-4</v>
      </c>
      <c r="N23" s="22">
        <f>IFERROR(TR/(RadSpec!J23*EF_ow*(1/365)*ED_out*ET_ow_o*(1/24)*GSF_a),".")</f>
        <v>6832.7585598112928</v>
      </c>
      <c r="O23" s="22">
        <f t="shared" si="19"/>
        <v>3.1569018283909682E-4</v>
      </c>
    </row>
    <row r="24" spans="1:15" ht="15" customHeight="1" x14ac:dyDescent="0.25">
      <c r="A24" s="23" t="s">
        <v>34</v>
      </c>
      <c r="B24" s="24" t="s">
        <v>289</v>
      </c>
      <c r="C24" s="109"/>
      <c r="D24" s="22" t="str">
        <f>IFERROR((TR/(RadSpec!I24*EF_ow*ED_out*IRS_ow*(1/1000)))*1,".")</f>
        <v>.</v>
      </c>
      <c r="E24" s="22" t="str">
        <f>IFERROR(IF(A24="H-3",(TR/(RadSpec!G24*EF_ow*ED_out*ET_ow_o*(1/24)*IRA_ow*(1/17)*1000))*1,(TR/(RadSpec!G24*EF_ow*ED_out*ET_ow_o*(1/24)*IRA_ow*(1/PEF_wind)*1000))*1),".")</f>
        <v>.</v>
      </c>
      <c r="F24" s="22">
        <f>IFERROR((TR/(RadSpec!F24*EF_ow*(1/365)*ED_out*RadSpec!Q24*ET_ow_o*(1/24)*RadSpec!V24))*1,".")</f>
        <v>57.489416848067442</v>
      </c>
      <c r="G24" s="22">
        <f t="shared" ref="G24:G25" si="20">(IF(AND(ISNUMBER(D24),ISNUMBER(E24),ISNUMBER(F24)),1/((1/D24)+(1/E24)+(1/F24)),IF(AND(ISNUMBER(D24),ISNUMBER(E24),NOT(ISNUMBER(F24))), 1/((1/D24)+(1/E24)),IF(AND(ISNUMBER(D24),NOT(ISNUMBER(E24)),ISNUMBER(F24)),1/((1/D24)+(1/F24)),IF(AND(NOT(ISNUMBER(D24)),ISNUMBER(E24),ISNUMBER(F24)),1/((1/E24)+(1/F24)),IF(AND(ISNUMBER(D24),NOT(ISNUMBER(E24)),NOT(ISNUMBER(F24))),1/((1/D24)),IF(AND(NOT(ISNUMBER(D24)),NOT(ISNUMBER(E24)),ISNUMBER(F24)),1/((1/F24)),IF(AND(NOT(ISNUMBER(D24)),ISNUMBER(E24),NOT(ISNUMBER(F24))),1/((1/E24)),IF(AND(NOT(ISNUMBER(D24)),NOT(ISNUMBER(E24)),NOT(ISNUMBER(F24))),".")))))))))</f>
        <v>57.489416848067435</v>
      </c>
      <c r="H24" s="22">
        <f>IFERROR((TR/(RadSpec!F24*EF_ow*(1/365)*ED_out*RadSpec!Q24*ET_ow_o*(1/24)*RadSpec!V24))*1,".")</f>
        <v>57.489416848067442</v>
      </c>
      <c r="I24" s="22">
        <f>IFERROR((TR/(RadSpec!M24*EF_ow*(1/365)*ED_out*RadSpec!R24*ET_ow_o*(1/24)*RadSpec!W24)*1),".")</f>
        <v>279.35541028719098</v>
      </c>
      <c r="J24" s="22">
        <f>IFERROR((TR/(RadSpec!N24*EF_ow*(1/365)*ED_out*RadSpec!S24*ET_ow_o*(1/24)*RadSpec!W24))*1,".")</f>
        <v>99.237683844878305</v>
      </c>
      <c r="K24" s="22">
        <f>IFERROR((TR/(RadSpec!O24*EF_ow*(1/365)*ED_out*RadSpec!T24*ET_ow_o*(1/24)*RadSpec!X24))*1,".")</f>
        <v>64.122811099767532</v>
      </c>
      <c r="L24" s="22">
        <f>IFERROR((TR/(RadSpec!K24*EF_ow*(1/365)*ED_out*RadSpec!P24*ET_ow_o*(1/24)*RadSpec!U24))*1,".")</f>
        <v>285.96793972452065</v>
      </c>
      <c r="M24" s="22" t="str">
        <f>IFERROR(TR/(RadSpec!G24*EF_ow*ED_out*ET_ow_o*(1/24)*IRA_ow),".")</f>
        <v>.</v>
      </c>
      <c r="N24" s="22">
        <f>IFERROR(TR/(RadSpec!J24*EF_ow*(1/365)*ED_out*ET_ow_o*(1/24)*GSF_a),".")</f>
        <v>61069.343904540496</v>
      </c>
      <c r="O24" s="22">
        <f t="shared" ref="O24:O25" si="21">IFERROR(IF(AND(ISNUMBER(M24),ISNUMBER(N24)),1/((1/M24)+(1/N24)),IF(AND(ISNUMBER(M24),NOT(ISNUMBER(N24))),1/((1/M24)),IF(AND(NOT(ISNUMBER(M24)),ISNUMBER(N24)),1/((1/N24)),IF(AND(NOT(ISNUMBER(M24)),NOT(ISNUMBER(N24))),".")))),".")</f>
        <v>61069.343904540496</v>
      </c>
    </row>
    <row r="25" spans="1:15" ht="15" customHeight="1" x14ac:dyDescent="0.25">
      <c r="A25" s="25" t="s">
        <v>35</v>
      </c>
      <c r="B25" s="24" t="s">
        <v>275</v>
      </c>
      <c r="C25" s="109"/>
      <c r="D25" s="22" t="str">
        <f>IFERROR((TR/(RadSpec!I25*EF_ow*ED_out*IRS_ow*(1/1000)))*1,".")</f>
        <v>.</v>
      </c>
      <c r="E25" s="22">
        <f>IFERROR(IF(A25="H-3",(TR/(RadSpec!G25*EF_ow*ED_out*ET_ow_o*(1/24)*IRA_ow*(1/17)*1000))*1,(TR/(RadSpec!G25*EF_ow*ED_out*ET_ow_o*(1/24)*IRA_ow*(1/PEF_wind)*1000))*1),".")</f>
        <v>5299588.5909607559</v>
      </c>
      <c r="F25" s="22">
        <f>IFERROR((TR/(RadSpec!F25*EF_ow*(1/365)*ED_out*RadSpec!Q25*ET_ow_o*(1/24)*RadSpec!V25))*1,".")</f>
        <v>114.97883369613488</v>
      </c>
      <c r="G25" s="22">
        <f t="shared" si="20"/>
        <v>114.97633919205101</v>
      </c>
      <c r="H25" s="22">
        <f>IFERROR((TR/(RadSpec!F25*EF_ow*(1/365)*ED_out*RadSpec!Q25*ET_ow_o*(1/24)*RadSpec!V25))*1,".")</f>
        <v>114.97883369613488</v>
      </c>
      <c r="I25" s="22">
        <f>IFERROR((TR/(RadSpec!M25*EF_ow*(1/365)*ED_out*RadSpec!R25*ET_ow_o*(1/24)*RadSpec!W25)*1),".")</f>
        <v>545.54747663414776</v>
      </c>
      <c r="J25" s="22">
        <f>IFERROR((TR/(RadSpec!N25*EF_ow*(1/365)*ED_out*RadSpec!S25*ET_ow_o*(1/24)*RadSpec!W25))*1,".")</f>
        <v>193.32016333417852</v>
      </c>
      <c r="K25" s="22">
        <f>IFERROR((TR/(RadSpec!O25*EF_ow*(1/365)*ED_out*RadSpec!T25*ET_ow_o*(1/24)*RadSpec!X25))*1,".")</f>
        <v>126.30250671166331</v>
      </c>
      <c r="L25" s="22">
        <f>IFERROR((TR/(RadSpec!K25*EF_ow*(1/365)*ED_out*RadSpec!P25*ET_ow_o*(1/24)*RadSpec!U25))*1,".")</f>
        <v>555.73102953131854</v>
      </c>
      <c r="M25" s="22">
        <f>IFERROR(TR/(RadSpec!G25*EF_ow*ED_out*ET_ow_o*(1/24)*IRA_ow),".")</f>
        <v>3.8986354775828467</v>
      </c>
      <c r="N25" s="22">
        <f>IFERROR(TR/(RadSpec!J25*EF_ow*(1/365)*ED_out*ET_ow_o*(1/24)*GSF_a),".")</f>
        <v>119941.94881970904</v>
      </c>
      <c r="O25" s="22">
        <f t="shared" si="21"/>
        <v>3.8985087590768748</v>
      </c>
    </row>
    <row r="26" spans="1:15" ht="15" customHeight="1" x14ac:dyDescent="0.25">
      <c r="A26" s="23" t="s">
        <v>36</v>
      </c>
      <c r="B26" s="24" t="s">
        <v>289</v>
      </c>
      <c r="C26" s="2"/>
      <c r="D26" s="22">
        <f>IFERROR((TR/(RadSpec!I26*EF_ow*ED_out*IRS_ow*(1/1000)))*1,".")</f>
        <v>9.0315879789563986</v>
      </c>
      <c r="E26" s="22">
        <f>IFERROR(IF(A26="H-3",(TR/(RadSpec!G26*EF_ow*ED_out*ET_ow_o*(1/24)*IRA_ow*(1/17)*1000))*1,(TR/(RadSpec!G26*EF_ow*ED_out*ET_ow_o*(1/24)*IRA_ow*(1/PEF_wind)*1000))*1),".")</f>
        <v>69.18839892000986</v>
      </c>
      <c r="F26" s="22">
        <f>IFERROR((TR/(RadSpec!F26*EF_ow*(1/365)*ED_out*RadSpec!Q26*ET_ow_o*(1/24)*RadSpec!V26))*1,".")</f>
        <v>0.86832973364268518</v>
      </c>
      <c r="G26" s="22">
        <f t="shared" ref="G26:G29" si="22">(IF(AND(ISNUMBER(D26),ISNUMBER(E26),ISNUMBER(F26)),1/((1/D26)+(1/E26)+(1/F26)),IF(AND(ISNUMBER(D26),ISNUMBER(E26),NOT(ISNUMBER(F26))), 1/((1/D26)+(1/E26)),IF(AND(ISNUMBER(D26),NOT(ISNUMBER(E26)),ISNUMBER(F26)),1/((1/D26)+(1/F26)),IF(AND(NOT(ISNUMBER(D26)),ISNUMBER(E26),ISNUMBER(F26)),1/((1/E26)+(1/F26)),IF(AND(ISNUMBER(D26),NOT(ISNUMBER(E26)),NOT(ISNUMBER(F26))),1/((1/D26)),IF(AND(NOT(ISNUMBER(D26)),NOT(ISNUMBER(E26)),ISNUMBER(F26)),1/((1/F26)),IF(AND(NOT(ISNUMBER(D26)),ISNUMBER(E26),NOT(ISNUMBER(F26))),1/((1/E26)),IF(AND(NOT(ISNUMBER(D26)),NOT(ISNUMBER(E26)),NOT(ISNUMBER(F26))),".")))))))))</f>
        <v>0.78320063329394174</v>
      </c>
      <c r="H26" s="22">
        <f>IFERROR((TR/(RadSpec!F26*EF_ow*(1/365)*ED_out*RadSpec!Q26*ET_ow_o*(1/24)*RadSpec!V26))*1,".")</f>
        <v>0.86832973364268518</v>
      </c>
      <c r="I26" s="22">
        <f>IFERROR((TR/(RadSpec!M26*EF_ow*(1/365)*ED_out*RadSpec!R26*ET_ow_o*(1/24)*RadSpec!W26)*1),".")</f>
        <v>2.8784411059978514</v>
      </c>
      <c r="J26" s="22">
        <f>IFERROR((TR/(RadSpec!N26*EF_ow*(1/365)*ED_out*RadSpec!S26*ET_ow_o*(1/24)*RadSpec!W26))*1,".")</f>
        <v>1.14113147747704</v>
      </c>
      <c r="K26" s="22">
        <f>IFERROR((TR/(RadSpec!O26*EF_ow*(1/365)*ED_out*RadSpec!T26*ET_ow_o*(1/24)*RadSpec!X26))*1,".")</f>
        <v>0.87747004662839767</v>
      </c>
      <c r="L26" s="22">
        <f>IFERROR((TR/(RadSpec!K26*EF_ow*(1/365)*ED_out*RadSpec!P26*ET_ow_o*(1/24)*RadSpec!U26))*1,".")</f>
        <v>2.7511437105510823</v>
      </c>
      <c r="M26" s="22">
        <f>IFERROR(TR/(RadSpec!G26*EF_ow*ED_out*ET_ow_o*(1/24)*IRA_ow),".")</f>
        <v>5.089835598310174E-5</v>
      </c>
      <c r="N26" s="22">
        <f>IFERROR(TR/(RadSpec!J26*EF_ow*(1/365)*ED_out*ET_ow_o*(1/24)*GSF_a),".")</f>
        <v>648.71326404434069</v>
      </c>
      <c r="O26" s="22">
        <f t="shared" ref="O26:O29" si="23">IFERROR(IF(AND(ISNUMBER(M26),ISNUMBER(N26)),1/((1/M26)+(1/N26)),IF(AND(ISNUMBER(M26),NOT(ISNUMBER(N26))),1/((1/M26)),IF(AND(NOT(ISNUMBER(M26)),ISNUMBER(N26)),1/((1/N26)),IF(AND(NOT(ISNUMBER(M26)),NOT(ISNUMBER(N26))),".")))),".")</f>
        <v>5.0898351989592454E-5</v>
      </c>
    </row>
    <row r="27" spans="1:15" ht="15" customHeight="1" x14ac:dyDescent="0.25">
      <c r="A27" s="23" t="s">
        <v>37</v>
      </c>
      <c r="B27" s="24" t="s">
        <v>289</v>
      </c>
      <c r="C27" s="109"/>
      <c r="D27" s="22" t="str">
        <f>IFERROR((TR/(RadSpec!I27*EF_ow*ED_out*IRS_ow*(1/1000)))*1,".")</f>
        <v>.</v>
      </c>
      <c r="E27" s="22" t="str">
        <f>IFERROR(IF(A27="H-3",(TR/(RadSpec!G27*EF_ow*ED_out*ET_ow_o*(1/24)*IRA_ow*(1/17)*1000))*1,(TR/(RadSpec!G27*EF_ow*ED_out*ET_ow_o*(1/24)*IRA_ow*(1/PEF_wind)*1000))*1),".")</f>
        <v>.</v>
      </c>
      <c r="F27" s="22">
        <f>IFERROR((TR/(RadSpec!F27*EF_ow*(1/365)*ED_out*RadSpec!Q27*ET_ow_o*(1/24)*RadSpec!V27))*1,".")</f>
        <v>31.877496913842361</v>
      </c>
      <c r="G27" s="22">
        <f t="shared" si="22"/>
        <v>31.877496913842357</v>
      </c>
      <c r="H27" s="22">
        <f>IFERROR((TR/(RadSpec!F27*EF_ow*(1/365)*ED_out*RadSpec!Q27*ET_ow_o*(1/24)*RadSpec!V27))*1,".")</f>
        <v>31.877496913842361</v>
      </c>
      <c r="I27" s="22">
        <f>IFERROR((TR/(RadSpec!M27*EF_ow*(1/365)*ED_out*RadSpec!R27*ET_ow_o*(1/24)*RadSpec!W27)*1),".")</f>
        <v>93.87348471812814</v>
      </c>
      <c r="J27" s="22">
        <f>IFERROR((TR/(RadSpec!N27*EF_ow*(1/365)*ED_out*RadSpec!S27*ET_ow_o*(1/24)*RadSpec!W27))*1,".")</f>
        <v>44.152359337763649</v>
      </c>
      <c r="K27" s="22">
        <f>IFERROR((TR/(RadSpec!O27*EF_ow*(1/365)*ED_out*RadSpec!T27*ET_ow_o*(1/24)*RadSpec!X27))*1,".")</f>
        <v>33.211017701074816</v>
      </c>
      <c r="L27" s="22">
        <f>IFERROR((TR/(RadSpec!K27*EF_ow*(1/365)*ED_out*RadSpec!P27*ET_ow_o*(1/24)*RadSpec!U27))*1,".")</f>
        <v>22.713802296920374</v>
      </c>
      <c r="M27" s="22" t="str">
        <f>IFERROR(TR/(RadSpec!G27*EF_ow*ED_out*ET_ow_o*(1/24)*IRA_ow),".")</f>
        <v>.</v>
      </c>
      <c r="N27" s="22">
        <f>IFERROR(TR/(RadSpec!J27*EF_ow*(1/365)*ED_out*ET_ow_o*(1/24)*GSF_a),".")</f>
        <v>20710.473150235473</v>
      </c>
      <c r="O27" s="22">
        <f t="shared" si="23"/>
        <v>20710.473150235473</v>
      </c>
    </row>
    <row r="28" spans="1:15" ht="15" customHeight="1" x14ac:dyDescent="0.25">
      <c r="A28" s="23" t="s">
        <v>38</v>
      </c>
      <c r="B28" s="24" t="s">
        <v>289</v>
      </c>
      <c r="C28" s="2"/>
      <c r="D28" s="22" t="str">
        <f>IFERROR((TR/(RadSpec!I28*EF_ow*ED_out*IRS_ow*(1/1000)))*1,".")</f>
        <v>.</v>
      </c>
      <c r="E28" s="22" t="str">
        <f>IFERROR(IF(A28="H-3",(TR/(RadSpec!G28*EF_ow*ED_out*ET_ow_o*(1/24)*IRA_ow*(1/17)*1000))*1,(TR/(RadSpec!G28*EF_ow*ED_out*ET_ow_o*(1/24)*IRA_ow*(1/PEF_wind)*1000))*1),".")</f>
        <v>.</v>
      </c>
      <c r="F28" s="22">
        <f>IFERROR((TR/(RadSpec!F28*EF_ow*(1/365)*ED_out*RadSpec!Q28*ET_ow_o*(1/24)*RadSpec!V28))*1,".")</f>
        <v>1.8859650323461038E-2</v>
      </c>
      <c r="G28" s="22">
        <f t="shared" si="22"/>
        <v>1.8859650323461038E-2</v>
      </c>
      <c r="H28" s="22">
        <f>IFERROR((TR/(RadSpec!F28*EF_ow*(1/365)*ED_out*RadSpec!Q28*ET_ow_o*(1/24)*RadSpec!V28))*1,".")</f>
        <v>1.8859650323461038E-2</v>
      </c>
      <c r="I28" s="22">
        <f>IFERROR((TR/(RadSpec!M28*EF_ow*(1/365)*ED_out*RadSpec!R28*ET_ow_o*(1/24)*RadSpec!W28)*1),".")</f>
        <v>0.10215643925208061</v>
      </c>
      <c r="J28" s="22">
        <f>IFERROR((TR/(RadSpec!N28*EF_ow*(1/365)*ED_out*RadSpec!S28*ET_ow_o*(1/24)*RadSpec!W28))*1,".")</f>
        <v>3.5562992504137275E-2</v>
      </c>
      <c r="K28" s="22">
        <f>IFERROR((TR/(RadSpec!O28*EF_ow*(1/365)*ED_out*RadSpec!T28*ET_ow_o*(1/24)*RadSpec!X28))*1,".")</f>
        <v>2.2348432822975276E-2</v>
      </c>
      <c r="L28" s="22">
        <f>IFERROR((TR/(RadSpec!K28*EF_ow*(1/365)*ED_out*RadSpec!P28*ET_ow_o*(1/24)*RadSpec!U28))*1,".")</f>
        <v>0.10485491123232424</v>
      </c>
      <c r="M28" s="22" t="str">
        <f>IFERROR(TR/(RadSpec!G28*EF_ow*ED_out*ET_ow_o*(1/24)*IRA_ow),".")</f>
        <v>.</v>
      </c>
      <c r="N28" s="22">
        <f>IFERROR(TR/(RadSpec!J28*EF_ow*(1/365)*ED_out*ET_ow_o*(1/24)*GSF_a),".")</f>
        <v>20.331623031633605</v>
      </c>
      <c r="O28" s="22">
        <f t="shared" si="23"/>
        <v>20.331623031633605</v>
      </c>
    </row>
    <row r="29" spans="1:15" ht="15" customHeight="1" x14ac:dyDescent="0.25">
      <c r="A29" s="23" t="s">
        <v>39</v>
      </c>
      <c r="B29" s="24" t="s">
        <v>289</v>
      </c>
      <c r="C29" s="109"/>
      <c r="D29" s="22" t="str">
        <f>IFERROR((TR/(RadSpec!I29*EF_ow*ED_out*IRS_ow*(1/1000)))*1,".")</f>
        <v>.</v>
      </c>
      <c r="E29" s="22" t="str">
        <f>IFERROR(IF(A29="H-3",(TR/(RadSpec!G29*EF_ow*ED_out*ET_ow_o*(1/24)*IRA_ow*(1/17)*1000))*1,(TR/(RadSpec!G29*EF_ow*ED_out*ET_ow_o*(1/24)*IRA_ow*(1/PEF_wind)*1000))*1),".")</f>
        <v>.</v>
      </c>
      <c r="F29" s="22">
        <f>IFERROR((TR/(RadSpec!F29*EF_ow*(1/365)*ED_out*RadSpec!Q29*ET_ow_o*(1/24)*RadSpec!V29))*1,".")</f>
        <v>1.449733120516483E-2</v>
      </c>
      <c r="G29" s="22">
        <f t="shared" si="22"/>
        <v>1.449733120516483E-2</v>
      </c>
      <c r="H29" s="22">
        <f>IFERROR((TR/(RadSpec!F29*EF_ow*(1/365)*ED_out*RadSpec!Q29*ET_ow_o*(1/24)*RadSpec!V29))*1,".")</f>
        <v>1.449733120516483E-2</v>
      </c>
      <c r="I29" s="22">
        <f>IFERROR((TR/(RadSpec!M29*EF_ow*(1/365)*ED_out*RadSpec!R29*ET_ow_o*(1/24)*RadSpec!W29)*1),".")</f>
        <v>7.8345539877535494E-2</v>
      </c>
      <c r="J29" s="22">
        <f>IFERROR((TR/(RadSpec!N29*EF_ow*(1/365)*ED_out*RadSpec!S29*ET_ow_o*(1/24)*RadSpec!W29))*1,".")</f>
        <v>2.7348967988745993E-2</v>
      </c>
      <c r="K29" s="22">
        <f>IFERROR((TR/(RadSpec!O29*EF_ow*(1/365)*ED_out*RadSpec!T29*ET_ow_o*(1/24)*RadSpec!X29))*1,".")</f>
        <v>1.7134564117101288E-2</v>
      </c>
      <c r="L29" s="22">
        <f>IFERROR((TR/(RadSpec!K29*EF_ow*(1/365)*ED_out*RadSpec!P29*ET_ow_o*(1/24)*RadSpec!U29))*1,".")</f>
        <v>8.0931703329803664E-2</v>
      </c>
      <c r="M29" s="22" t="str">
        <f>IFERROR(TR/(RadSpec!G29*EF_ow*ED_out*ET_ow_o*(1/24)*IRA_ow),".")</f>
        <v>.</v>
      </c>
      <c r="N29" s="22">
        <f>IFERROR(TR/(RadSpec!J29*EF_ow*(1/365)*ED_out*ET_ow_o*(1/24)*GSF_a),".")</f>
        <v>15.728236684848639</v>
      </c>
      <c r="O29" s="22">
        <f t="shared" si="23"/>
        <v>15.728236684848637</v>
      </c>
    </row>
    <row r="30" spans="1:15" ht="15" customHeight="1" x14ac:dyDescent="0.25">
      <c r="A30" s="23" t="s">
        <v>40</v>
      </c>
      <c r="B30" s="24" t="s">
        <v>289</v>
      </c>
      <c r="C30" s="2"/>
      <c r="D30" s="22">
        <f>IFERROR((TR/(RadSpec!I30*EF_ow*ED_out*IRS_ow*(1/1000)))*1,".")</f>
        <v>34.076629821310675</v>
      </c>
      <c r="E30" s="22">
        <f>IFERROR(IF(A30="H-3",(TR/(RadSpec!G30*EF_ow*ED_out*ET_ow_o*(1/24)*IRA_ow*(1/17)*1000))*1,(TR/(RadSpec!G30*EF_ow*ED_out*ET_ow_o*(1/24)*IRA_ow*(1/PEF_wind)*1000))*1),".")</f>
        <v>426.88789921888434</v>
      </c>
      <c r="F30" s="22">
        <f>IFERROR((TR/(RadSpec!F30*EF_ow*(1/365)*ED_out*RadSpec!Q30*ET_ow_o*(1/24)*RadSpec!V30))*1,".")</f>
        <v>273.75912784794014</v>
      </c>
      <c r="G30" s="22">
        <f t="shared" ref="G30" si="24">(IF(AND(ISNUMBER(D30),ISNUMBER(E30),ISNUMBER(F30)),1/((1/D30)+(1/E30)+(1/F30)),IF(AND(ISNUMBER(D30),ISNUMBER(E30),NOT(ISNUMBER(F30))), 1/((1/D30)+(1/E30)),IF(AND(ISNUMBER(D30),NOT(ISNUMBER(E30)),ISNUMBER(F30)),1/((1/D30)+(1/F30)),IF(AND(NOT(ISNUMBER(D30)),ISNUMBER(E30),ISNUMBER(F30)),1/((1/E30)+(1/F30)),IF(AND(ISNUMBER(D30),NOT(ISNUMBER(E30)),NOT(ISNUMBER(F30))),1/((1/D30)),IF(AND(NOT(ISNUMBER(D30)),NOT(ISNUMBER(E30)),ISNUMBER(F30)),1/((1/F30)),IF(AND(NOT(ISNUMBER(D30)),ISNUMBER(E30),NOT(ISNUMBER(F30))),1/((1/E30)),IF(AND(NOT(ISNUMBER(D30)),NOT(ISNUMBER(E30)),NOT(ISNUMBER(F30))),".")))))))))</f>
        <v>28.29574186484939</v>
      </c>
      <c r="H30" s="22">
        <f>IFERROR((TR/(RadSpec!F30*EF_ow*(1/365)*ED_out*RadSpec!Q30*ET_ow_o*(1/24)*RadSpec!V30))*1,".")</f>
        <v>273.75912784794014</v>
      </c>
      <c r="I30" s="22">
        <f>IFERROR((TR/(RadSpec!M30*EF_ow*(1/365)*ED_out*RadSpec!R30*ET_ow_o*(1/24)*RadSpec!W30)*1),".")</f>
        <v>938.73484718128122</v>
      </c>
      <c r="J30" s="22">
        <f>IFERROR((TR/(RadSpec!N30*EF_ow*(1/365)*ED_out*RadSpec!S30*ET_ow_o*(1/24)*RadSpec!W30))*1,".")</f>
        <v>384.50025105949163</v>
      </c>
      <c r="K30" s="22">
        <f>IFERROR((TR/(RadSpec!O30*EF_ow*(1/365)*ED_out*RadSpec!T30*ET_ow_o*(1/24)*RadSpec!X30))*1,".")</f>
        <v>283.05485375109606</v>
      </c>
      <c r="L30" s="22">
        <f>IFERROR((TR/(RadSpec!K30*EF_ow*(1/365)*ED_out*RadSpec!P30*ET_ow_o*(1/24)*RadSpec!U30))*1,".")</f>
        <v>544.83434267776329</v>
      </c>
      <c r="M30" s="22">
        <f>IFERROR(TR/(RadSpec!G30*EF_ow*ED_out*ET_ow_o*(1/24)*IRA_ow),".")</f>
        <v>3.1403952972580419E-4</v>
      </c>
      <c r="N30" s="22">
        <f>IFERROR(TR/(RadSpec!J30*EF_ow*(1/365)*ED_out*ET_ow_o*(1/24)*GSF_a),".")</f>
        <v>207620.5589780767</v>
      </c>
      <c r="O30" s="22">
        <f t="shared" ref="O30" si="25">IFERROR(IF(AND(ISNUMBER(M30),ISNUMBER(N30)),1/((1/M30)+(1/N30)),IF(AND(ISNUMBER(M30),NOT(ISNUMBER(N30))),1/((1/M30)),IF(AND(NOT(ISNUMBER(M30)),ISNUMBER(N30)),1/((1/N30)),IF(AND(NOT(ISNUMBER(M30)),NOT(ISNUMBER(N30))),".")))),".")</f>
        <v>3.1403952925079906E-4</v>
      </c>
    </row>
    <row r="31" spans="1:15" x14ac:dyDescent="0.25">
      <c r="A31" s="26" t="s">
        <v>13</v>
      </c>
      <c r="B31" s="26" t="s">
        <v>289</v>
      </c>
      <c r="C31" s="110"/>
      <c r="D31" s="27">
        <f>1/SUM(1/D32,1/D33,1/D34,1/D35,1/D36,1/D37,1/D38,1/D41,1/D44)</f>
        <v>3.2049833416308076</v>
      </c>
      <c r="E31" s="27">
        <f>1/SUM(1/E32,1/E33,1/E34,1/E35,1/E36,1/E37,1/E38,1/E41,1/E44)</f>
        <v>37.273558773663289</v>
      </c>
      <c r="F31" s="27">
        <f>1/SUM(1/F32,1/F33,1/F34,1/F35,1/F36,1/F37,1/F38,1/F39,1/F40,1/F41,1/F42,1/F43,1/F44)</f>
        <v>9.6370775514422358E-2</v>
      </c>
      <c r="G31" s="28">
        <f>1/SUM(1/G32,1/G33,1/G34,1/G35,1/G36,1/G37,1/G38,1/G39,1/G40,1/G41,1/G42,1/G43,1/G44)</f>
        <v>9.3323344559708532E-2</v>
      </c>
      <c r="H31" s="27">
        <f t="shared" ref="H31:O31" si="26">1/SUM(1/H32,1/H33,1/H34,1/H35,1/H36,1/H37,1/H38,1/H39,1/H40,1/H41,1/H42,1/H43,1/H44)</f>
        <v>9.6370775514422358E-2</v>
      </c>
      <c r="I31" s="27">
        <f t="shared" si="26"/>
        <v>0.398085476339057</v>
      </c>
      <c r="J31" s="27">
        <f t="shared" si="26"/>
        <v>0.14836613067321314</v>
      </c>
      <c r="K31" s="27">
        <f t="shared" si="26"/>
        <v>0.10299961676460462</v>
      </c>
      <c r="L31" s="27">
        <f t="shared" si="26"/>
        <v>0.38571325992453237</v>
      </c>
      <c r="M31" s="27">
        <f>1/SUM(1/M32,1/M33,1/M34,1/M35,1/M36,1/M37,1/M38,1/M41,1/M44)</f>
        <v>2.7420245197642584E-5</v>
      </c>
      <c r="N31" s="27">
        <f t="shared" si="26"/>
        <v>88.092948509802298</v>
      </c>
      <c r="O31" s="28">
        <f t="shared" si="26"/>
        <v>2.7420236662684609E-5</v>
      </c>
    </row>
    <row r="32" spans="1:15" x14ac:dyDescent="0.25">
      <c r="A32" s="29" t="s">
        <v>290</v>
      </c>
      <c r="B32" s="24">
        <v>1</v>
      </c>
      <c r="C32" s="2"/>
      <c r="D32" s="30">
        <f>IFERROR(D3/$B32,0)</f>
        <v>19.53172684880002</v>
      </c>
      <c r="E32" s="30">
        <f>IFERROR(E3/$B32,0)</f>
        <v>320.16592441416327</v>
      </c>
      <c r="F32" s="30">
        <f>IFERROR(F3/$B32,0)</f>
        <v>7.0345699940673239</v>
      </c>
      <c r="G32" s="30">
        <f>IF(AND(D32&lt;&gt;0,E32&lt;&gt;0,F32&lt;&gt;0),1/((1/D32)+(1/E32)+(1/F32)),IF(AND(D32&lt;&gt;0,E32&lt;&gt;0,F32=0), 1/((1/D32)+(1/E32)),IF(AND(D32&lt;&gt;0,E32=0,F32&lt;&gt;0),1/((1/D32)+(1/F32)),IF(AND(D32=0,E32&lt;&gt;0,F32&lt;&gt;0),1/((1/E32)+(1/F32)),IF(AND(D32&lt;&gt;0,E32=0,F32=0),1/((1/D32)),IF(AND(D32=0,E32&lt;&gt;0,F32=0),1/((1/E32)),IF(AND(D32=0,E32=0,F32&lt;&gt;0),1/((1/F32)),IF(AND(D32=0,E32=0,F32=0),0))))))))</f>
        <v>5.0896482927468947</v>
      </c>
      <c r="H32" s="30">
        <f t="shared" ref="H32:N32" si="27">IFERROR(H3/$B32,0)</f>
        <v>7.0345699940673239</v>
      </c>
      <c r="I32" s="30">
        <f t="shared" si="27"/>
        <v>14.152742687554802</v>
      </c>
      <c r="J32" s="30">
        <f t="shared" si="27"/>
        <v>7.5506933360233504</v>
      </c>
      <c r="K32" s="30">
        <f t="shared" si="27"/>
        <v>7.0345699940673239</v>
      </c>
      <c r="L32" s="30">
        <f t="shared" si="27"/>
        <v>10.419956803712223</v>
      </c>
      <c r="M32" s="30">
        <f t="shared" si="27"/>
        <v>2.3552964729435318E-4</v>
      </c>
      <c r="N32" s="30">
        <f t="shared" si="27"/>
        <v>3354.5132567282808</v>
      </c>
      <c r="O32" s="30">
        <f>IFERROR(IF(AND(M32&lt;&gt;0,N32&lt;&gt;0),1/((1/M32)+(1/N32)),IF(AND(M32&lt;&gt;0,N32=0),1/((1/M32)),IF(AND(M32=0,N32&lt;&gt;0),1/((1/N32)),IF(AND(M32=0,N32=0),0)))),0)</f>
        <v>2.3552963075716682E-4</v>
      </c>
    </row>
    <row r="33" spans="1:15" x14ac:dyDescent="0.25">
      <c r="A33" s="29" t="s">
        <v>291</v>
      </c>
      <c r="B33" s="24">
        <v>1</v>
      </c>
      <c r="C33" s="2"/>
      <c r="D33" s="30">
        <f t="shared" ref="D33:F34" si="28">IFERROR(D13/$B33,0)</f>
        <v>37.833108699250431</v>
      </c>
      <c r="E33" s="30">
        <f t="shared" si="28"/>
        <v>421.37966826122135</v>
      </c>
      <c r="F33" s="30">
        <f t="shared" si="28"/>
        <v>3.7634155498734887</v>
      </c>
      <c r="G33" s="30">
        <f>IF(AND(D33&lt;&gt;0,E33&lt;&gt;0,F33&lt;&gt;0),1/((1/D33)+(1/E33)+(1/F33)),IF(AND(D33&lt;&gt;0,E33&lt;&gt;0,F33=0), 1/((1/D33)+(1/E33)),IF(AND(D33&lt;&gt;0,E33=0,F33&lt;&gt;0),1/((1/D33)+(1/F33)),IF(AND(D33=0,E33&lt;&gt;0,F33&lt;&gt;0),1/((1/E33)+(1/F33)),IF(AND(D33&lt;&gt;0,E33=0,F33=0),1/((1/D33)),IF(AND(D33=0,E33&lt;&gt;0,F33=0),1/((1/E33)),IF(AND(D33=0,E33=0,F33&lt;&gt;0),1/((1/F33)),IF(AND(D33=0,E33=0,F33=0),0))))))))</f>
        <v>3.3953424212677845</v>
      </c>
      <c r="H33" s="30">
        <f t="shared" ref="H33:N34" si="29">IFERROR(H13/$B33,0)</f>
        <v>3.7634155498734887</v>
      </c>
      <c r="I33" s="30">
        <f t="shared" si="29"/>
        <v>11.219334378155827</v>
      </c>
      <c r="J33" s="30">
        <f t="shared" si="29"/>
        <v>4.714912580865259</v>
      </c>
      <c r="K33" s="30">
        <f t="shared" si="29"/>
        <v>3.7804831940906025</v>
      </c>
      <c r="L33" s="30">
        <f t="shared" si="29"/>
        <v>9.2621838255219728</v>
      </c>
      <c r="M33" s="30">
        <f t="shared" si="29"/>
        <v>3.0998740676160027E-4</v>
      </c>
      <c r="N33" s="30">
        <f t="shared" si="29"/>
        <v>2537.5846097320482</v>
      </c>
      <c r="O33" s="30">
        <f t="shared" ref="O33:O44" si="30">IFERROR(IF(AND(M33&lt;&gt;0,N33&lt;&gt;0),1/((1/M33)+(1/N33)),IF(AND(M33&lt;&gt;0,N33=0),1/((1/M33)),IF(AND(M33=0,N33&lt;&gt;0),1/((1/N33)),IF(AND(M33=0,N33=0),0)))),0)</f>
        <v>3.0998736889402325E-4</v>
      </c>
    </row>
    <row r="34" spans="1:15" x14ac:dyDescent="0.25">
      <c r="A34" s="29" t="s">
        <v>292</v>
      </c>
      <c r="B34" s="24">
        <v>1</v>
      </c>
      <c r="C34" s="2"/>
      <c r="D34" s="30">
        <f t="shared" si="28"/>
        <v>688.36745054510095</v>
      </c>
      <c r="E34" s="30">
        <f t="shared" si="28"/>
        <v>790724.55908582697</v>
      </c>
      <c r="F34" s="30">
        <f t="shared" si="28"/>
        <v>0.24232457683051681</v>
      </c>
      <c r="G34" s="30">
        <f>IF(AND(D34&lt;&gt;0,E34&lt;&gt;0,F34&lt;&gt;0),1/((1/D34)+(1/E34)+(1/F34)),IF(AND(D34&lt;&gt;0,E34&lt;&gt;0,F34=0), 1/((1/D34)+(1/E34)),IF(AND(D34&lt;&gt;0,E34=0,F34&lt;&gt;0),1/((1/D34)+(1/F34)),IF(AND(D34=0,E34&lt;&gt;0,F34&lt;&gt;0),1/((1/E34)+(1/F34)),IF(AND(D34&lt;&gt;0,E34=0,F34=0),1/((1/D34)),IF(AND(D34=0,E34&lt;&gt;0,F34=0),1/((1/E34)),IF(AND(D34=0,E34=0,F34&lt;&gt;0),1/((1/F34)),IF(AND(D34=0,E34=0,F34=0),0))))))))</f>
        <v>0.24223922761742417</v>
      </c>
      <c r="H34" s="30">
        <f t="shared" si="29"/>
        <v>0.24232457683051681</v>
      </c>
      <c r="I34" s="30">
        <f t="shared" si="29"/>
        <v>1.0215643925208064</v>
      </c>
      <c r="J34" s="30">
        <f t="shared" si="29"/>
        <v>0.37214131441829357</v>
      </c>
      <c r="K34" s="30">
        <f t="shared" si="29"/>
        <v>0.25609724863194405</v>
      </c>
      <c r="L34" s="30">
        <f t="shared" si="29"/>
        <v>1.0355236575117737</v>
      </c>
      <c r="M34" s="30">
        <f t="shared" si="29"/>
        <v>0.58169549694973421</v>
      </c>
      <c r="N34" s="30">
        <f t="shared" si="29"/>
        <v>228.07018995813345</v>
      </c>
      <c r="O34" s="30">
        <f t="shared" si="30"/>
        <v>0.58021565063008484</v>
      </c>
    </row>
    <row r="35" spans="1:15" x14ac:dyDescent="0.25">
      <c r="A35" s="29" t="s">
        <v>293</v>
      </c>
      <c r="B35" s="24">
        <v>1</v>
      </c>
      <c r="C35" s="2"/>
      <c r="D35" s="30">
        <f>IFERROR(D30/$B35,0)</f>
        <v>34.076629821310675</v>
      </c>
      <c r="E35" s="30">
        <f>IFERROR(E30/$B35,0)</f>
        <v>426.88789921888434</v>
      </c>
      <c r="F35" s="30">
        <f>IFERROR(F30/$B35,0)</f>
        <v>273.75912784794014</v>
      </c>
      <c r="G35" s="30">
        <f t="shared" ref="G35:G61" si="31">IF(AND(D35&lt;&gt;0,E35&lt;&gt;0,F35&lt;&gt;0),1/((1/D35)+(1/E35)+(1/F35)),IF(AND(D35&lt;&gt;0,E35&lt;&gt;0,F35=0), 1/((1/D35)+(1/E35)),IF(AND(D35&lt;&gt;0,E35=0,F35&lt;&gt;0),1/((1/D35)+(1/F35)),IF(AND(D35=0,E35&lt;&gt;0,F35&lt;&gt;0),1/((1/E35)+(1/F35)),IF(AND(D35&lt;&gt;0,E35=0,F35=0),1/((1/D35)),IF(AND(D35=0,E35&lt;&gt;0,F35=0),1/((1/E35)),IF(AND(D35=0,E35=0,F35&lt;&gt;0),1/((1/F35)),IF(AND(D35=0,E35=0,F35=0),0))))))))</f>
        <v>28.29574186484939</v>
      </c>
      <c r="H35" s="30">
        <f t="shared" ref="H35:N35" si="32">IFERROR(H30/$B35,0)</f>
        <v>273.75912784794014</v>
      </c>
      <c r="I35" s="30">
        <f t="shared" si="32"/>
        <v>938.73484718128122</v>
      </c>
      <c r="J35" s="30">
        <f t="shared" si="32"/>
        <v>384.50025105949163</v>
      </c>
      <c r="K35" s="30">
        <f t="shared" si="32"/>
        <v>283.05485375109606</v>
      </c>
      <c r="L35" s="30">
        <f t="shared" si="32"/>
        <v>544.83434267776329</v>
      </c>
      <c r="M35" s="30">
        <f t="shared" si="32"/>
        <v>3.1403952972580419E-4</v>
      </c>
      <c r="N35" s="30">
        <f t="shared" si="32"/>
        <v>207620.5589780767</v>
      </c>
      <c r="O35" s="30">
        <f t="shared" si="30"/>
        <v>3.1403952925079906E-4</v>
      </c>
    </row>
    <row r="36" spans="1:15" x14ac:dyDescent="0.25">
      <c r="A36" s="29" t="s">
        <v>294</v>
      </c>
      <c r="B36" s="24">
        <v>1</v>
      </c>
      <c r="C36" s="2"/>
      <c r="D36" s="30">
        <f>IFERROR(D26/$B36,0)</f>
        <v>9.0315879789563986</v>
      </c>
      <c r="E36" s="30">
        <f>IFERROR(E26/$B36,0)</f>
        <v>69.18839892000986</v>
      </c>
      <c r="F36" s="30">
        <f>IFERROR(F26/$B36,0)</f>
        <v>0.86832973364268518</v>
      </c>
      <c r="G36" s="30">
        <f t="shared" si="31"/>
        <v>0.78320063329394174</v>
      </c>
      <c r="H36" s="30">
        <f t="shared" ref="H36:N36" si="33">IFERROR(H26/$B36,0)</f>
        <v>0.86832973364268518</v>
      </c>
      <c r="I36" s="30">
        <f t="shared" si="33"/>
        <v>2.8784411059978514</v>
      </c>
      <c r="J36" s="30">
        <f t="shared" si="33"/>
        <v>1.14113147747704</v>
      </c>
      <c r="K36" s="30">
        <f t="shared" si="33"/>
        <v>0.87747004662839767</v>
      </c>
      <c r="L36" s="30">
        <f t="shared" si="33"/>
        <v>2.7511437105510823</v>
      </c>
      <c r="M36" s="30">
        <f t="shared" si="33"/>
        <v>5.089835598310174E-5</v>
      </c>
      <c r="N36" s="30">
        <f t="shared" si="33"/>
        <v>648.71326404434069</v>
      </c>
      <c r="O36" s="30">
        <f t="shared" si="30"/>
        <v>5.0898351989592454E-5</v>
      </c>
    </row>
    <row r="37" spans="1:15" x14ac:dyDescent="0.25">
      <c r="A37" s="29" t="s">
        <v>295</v>
      </c>
      <c r="B37" s="24">
        <v>1</v>
      </c>
      <c r="C37" s="2"/>
      <c r="D37" s="30">
        <f>IFERROR(D22/$B37,0)</f>
        <v>23.904501516441819</v>
      </c>
      <c r="E37" s="30">
        <f>IFERROR(E22/$B37,0)</f>
        <v>461.90840580261192</v>
      </c>
      <c r="F37" s="30">
        <f>IFERROR(F22/$B37,0)</f>
        <v>31.877496913842361</v>
      </c>
      <c r="G37" s="30">
        <f t="shared" si="31"/>
        <v>13.268204488335746</v>
      </c>
      <c r="H37" s="30">
        <f t="shared" ref="H37:N37" si="34">IFERROR(H22/$B37,0)</f>
        <v>31.877496913842361</v>
      </c>
      <c r="I37" s="30">
        <f t="shared" si="34"/>
        <v>43.78133110803455</v>
      </c>
      <c r="J37" s="30">
        <f t="shared" si="34"/>
        <v>32.061405549883766</v>
      </c>
      <c r="K37" s="30">
        <f t="shared" si="34"/>
        <v>31.938564915593016</v>
      </c>
      <c r="L37" s="30">
        <f t="shared" si="34"/>
        <v>22.023686771386469</v>
      </c>
      <c r="M37" s="30">
        <f t="shared" si="34"/>
        <v>3.3980232000033986E-4</v>
      </c>
      <c r="N37" s="30">
        <f t="shared" si="34"/>
        <v>10551.854991100987</v>
      </c>
      <c r="O37" s="30">
        <f t="shared" si="30"/>
        <v>3.3980230905765609E-4</v>
      </c>
    </row>
    <row r="38" spans="1:15" x14ac:dyDescent="0.25">
      <c r="A38" s="29" t="s">
        <v>296</v>
      </c>
      <c r="B38" s="24">
        <v>1</v>
      </c>
      <c r="C38" s="2"/>
      <c r="D38" s="30">
        <f>IFERROR(D2/$B38,0)</f>
        <v>19.691822970511495</v>
      </c>
      <c r="E38" s="30">
        <f>IFERROR(E2/$B38,0)</f>
        <v>423.01715401871314</v>
      </c>
      <c r="F38" s="30">
        <f>IFERROR(F2/$B38,0)</f>
        <v>4.7229265965834433</v>
      </c>
      <c r="G38" s="30">
        <f t="shared" si="31"/>
        <v>3.775300263170835</v>
      </c>
      <c r="H38" s="30">
        <f t="shared" ref="H38:N38" si="35">IFERROR(H2/$B38,0)</f>
        <v>4.7229265965834433</v>
      </c>
      <c r="I38" s="30">
        <f t="shared" si="35"/>
        <v>16.860771527042431</v>
      </c>
      <c r="J38" s="30">
        <f t="shared" si="35"/>
        <v>6.5124730023201387</v>
      </c>
      <c r="K38" s="30">
        <f t="shared" si="35"/>
        <v>4.8464915366103352</v>
      </c>
      <c r="L38" s="30">
        <f t="shared" si="35"/>
        <v>16.186340665960731</v>
      </c>
      <c r="M38" s="30">
        <f t="shared" si="35"/>
        <v>3.1119202103658064E-4</v>
      </c>
      <c r="N38" s="30">
        <f t="shared" si="35"/>
        <v>3780.4831940906024</v>
      </c>
      <c r="O38" s="30">
        <f t="shared" si="30"/>
        <v>3.1119199542068419E-4</v>
      </c>
    </row>
    <row r="39" spans="1:15" x14ac:dyDescent="0.25">
      <c r="A39" s="29" t="s">
        <v>297</v>
      </c>
      <c r="B39" s="24">
        <v>1</v>
      </c>
      <c r="C39" s="2"/>
      <c r="D39" s="30">
        <f>IFERROR(D11/$B39,0)</f>
        <v>0</v>
      </c>
      <c r="E39" s="30">
        <f>IFERROR(E11/$B39,0)</f>
        <v>0</v>
      </c>
      <c r="F39" s="30">
        <f>IFERROR(F11/$B39,0)</f>
        <v>1.8565624594587478</v>
      </c>
      <c r="G39" s="30">
        <f t="shared" si="31"/>
        <v>1.856562459458748</v>
      </c>
      <c r="H39" s="30">
        <f t="shared" ref="H39:N39" si="36">IFERROR(H11/$B39,0)</f>
        <v>1.8565624594587478</v>
      </c>
      <c r="I39" s="30">
        <f t="shared" si="36"/>
        <v>7.6058078859213296</v>
      </c>
      <c r="J39" s="30">
        <f t="shared" si="36"/>
        <v>2.7566023290243979</v>
      </c>
      <c r="K39" s="30">
        <f t="shared" si="36"/>
        <v>1.9273908538658446</v>
      </c>
      <c r="L39" s="30">
        <f t="shared" si="36"/>
        <v>7.7184865212683125</v>
      </c>
      <c r="M39" s="30">
        <f t="shared" si="36"/>
        <v>0</v>
      </c>
      <c r="N39" s="30">
        <f t="shared" si="36"/>
        <v>1689.1520654447372</v>
      </c>
      <c r="O39" s="30">
        <f t="shared" si="30"/>
        <v>1689.1520654447372</v>
      </c>
    </row>
    <row r="40" spans="1:15" x14ac:dyDescent="0.25">
      <c r="A40" s="29" t="s">
        <v>298</v>
      </c>
      <c r="B40" s="24">
        <v>1</v>
      </c>
      <c r="C40" s="2"/>
      <c r="D40" s="30">
        <f>IFERROR(D4/$B40,0)</f>
        <v>0</v>
      </c>
      <c r="E40" s="30">
        <f>IFERROR(E4/$B40,0)</f>
        <v>0</v>
      </c>
      <c r="F40" s="30">
        <f>IFERROR(F4/$B40,0)</f>
        <v>207.87943748054309</v>
      </c>
      <c r="G40" s="30">
        <f t="shared" si="31"/>
        <v>207.87943748054309</v>
      </c>
      <c r="H40" s="30">
        <f t="shared" ref="H40:N40" si="37">IFERROR(H4/$B40,0)</f>
        <v>207.87943748054309</v>
      </c>
      <c r="I40" s="30">
        <f t="shared" si="37"/>
        <v>898.27213825105366</v>
      </c>
      <c r="J40" s="30">
        <f t="shared" si="37"/>
        <v>325.62365011600701</v>
      </c>
      <c r="K40" s="30">
        <f t="shared" si="37"/>
        <v>221.70120858962173</v>
      </c>
      <c r="L40" s="30">
        <f t="shared" si="37"/>
        <v>916.04015856810747</v>
      </c>
      <c r="M40" s="30">
        <f t="shared" si="37"/>
        <v>0</v>
      </c>
      <c r="N40" s="30">
        <f t="shared" si="37"/>
        <v>199425.01059736309</v>
      </c>
      <c r="O40" s="30">
        <f t="shared" si="30"/>
        <v>199425.01059736309</v>
      </c>
    </row>
    <row r="41" spans="1:15" x14ac:dyDescent="0.25">
      <c r="A41" s="29" t="s">
        <v>299</v>
      </c>
      <c r="B41" s="31">
        <v>0.99987999999999999</v>
      </c>
      <c r="C41" s="111"/>
      <c r="D41" s="30">
        <f>IFERROR(D8/$B41,0)</f>
        <v>5607.212894491101</v>
      </c>
      <c r="E41" s="30">
        <f>IFERROR(E8/$B41,0)</f>
        <v>163304.21795737819</v>
      </c>
      <c r="F41" s="30">
        <f>IFERROR(F8/$B41,0)</f>
        <v>0.35857917758603192</v>
      </c>
      <c r="G41" s="30">
        <f t="shared" si="31"/>
        <v>0.3585554607909634</v>
      </c>
      <c r="H41" s="30">
        <f t="shared" ref="H41:N41" si="38">IFERROR(H8/$B41,0)</f>
        <v>0.35857917758603192</v>
      </c>
      <c r="I41" s="30">
        <f t="shared" si="38"/>
        <v>1.6541598966022308</v>
      </c>
      <c r="J41" s="30">
        <f t="shared" si="38"/>
        <v>0.59211405389738947</v>
      </c>
      <c r="K41" s="30">
        <f t="shared" si="38"/>
        <v>0.39140684877348553</v>
      </c>
      <c r="L41" s="30">
        <f t="shared" si="38"/>
        <v>1.6188283259951932</v>
      </c>
      <c r="M41" s="30">
        <f t="shared" si="38"/>
        <v>0.12013453626447188</v>
      </c>
      <c r="N41" s="30">
        <f t="shared" si="38"/>
        <v>365.65639819628262</v>
      </c>
      <c r="O41" s="30">
        <f t="shared" si="30"/>
        <v>0.12009507964133735</v>
      </c>
    </row>
    <row r="42" spans="1:15" x14ac:dyDescent="0.25">
      <c r="A42" s="29" t="s">
        <v>300</v>
      </c>
      <c r="B42" s="24">
        <v>0.97898250799999997</v>
      </c>
      <c r="C42" s="2"/>
      <c r="D42" s="30">
        <f>IFERROR(D19/$B42,0)</f>
        <v>0</v>
      </c>
      <c r="E42" s="30">
        <f>IFERROR(E19/$B42,0)</f>
        <v>0</v>
      </c>
      <c r="F42" s="30">
        <f>IFERROR(F19/$B42,0)</f>
        <v>1150.6659285658425</v>
      </c>
      <c r="G42" s="30">
        <f t="shared" si="31"/>
        <v>1150.6659285658425</v>
      </c>
      <c r="H42" s="30">
        <f t="shared" ref="H42:N42" si="39">IFERROR(H19/$B42,0)</f>
        <v>1150.6659285658425</v>
      </c>
      <c r="I42" s="30">
        <f t="shared" si="39"/>
        <v>5753.3296428292133</v>
      </c>
      <c r="J42" s="30">
        <f t="shared" si="39"/>
        <v>2042.9289518683393</v>
      </c>
      <c r="K42" s="30">
        <f t="shared" si="39"/>
        <v>1309.9889032903441</v>
      </c>
      <c r="L42" s="30">
        <f t="shared" si="39"/>
        <v>5913.1443551300235</v>
      </c>
      <c r="M42" s="30">
        <f t="shared" si="39"/>
        <v>0</v>
      </c>
      <c r="N42" s="30">
        <f t="shared" si="39"/>
        <v>1234047.5175923528</v>
      </c>
      <c r="O42" s="30">
        <f t="shared" si="30"/>
        <v>1234047.5175923528</v>
      </c>
    </row>
    <row r="43" spans="1:15" x14ac:dyDescent="0.25">
      <c r="A43" s="29" t="s">
        <v>301</v>
      </c>
      <c r="B43" s="24">
        <v>2.0897492E-2</v>
      </c>
      <c r="C43" s="2"/>
      <c r="D43" s="30">
        <f>IFERROR(D28/$B43,0)</f>
        <v>0</v>
      </c>
      <c r="E43" s="30">
        <f>IFERROR(E28/$B43,0)</f>
        <v>0</v>
      </c>
      <c r="F43" s="30">
        <f>IFERROR(F28/$B43,0)</f>
        <v>0.90248391163212494</v>
      </c>
      <c r="G43" s="30">
        <f t="shared" si="31"/>
        <v>0.90248391163212505</v>
      </c>
      <c r="H43" s="30">
        <f t="shared" ref="H43:N43" si="40">IFERROR(H28/$B43,0)</f>
        <v>0.90248391163212494</v>
      </c>
      <c r="I43" s="30">
        <f t="shared" si="40"/>
        <v>4.8884545213406758</v>
      </c>
      <c r="J43" s="30">
        <f t="shared" si="40"/>
        <v>1.7017828026510202</v>
      </c>
      <c r="K43" s="30">
        <f t="shared" si="40"/>
        <v>1.0694313376445019</v>
      </c>
      <c r="L43" s="30">
        <f t="shared" si="40"/>
        <v>5.0175835086968448</v>
      </c>
      <c r="M43" s="30">
        <f t="shared" si="40"/>
        <v>0</v>
      </c>
      <c r="N43" s="30">
        <f t="shared" si="40"/>
        <v>972.92168034487599</v>
      </c>
      <c r="O43" s="30">
        <f t="shared" si="30"/>
        <v>972.92168034487611</v>
      </c>
    </row>
    <row r="44" spans="1:15" x14ac:dyDescent="0.25">
      <c r="A44" s="29" t="s">
        <v>302</v>
      </c>
      <c r="B44" s="24">
        <v>0.99987999999999999</v>
      </c>
      <c r="C44" s="2"/>
      <c r="D44" s="30">
        <f>IFERROR(D15/$B44,0)</f>
        <v>14561.761971451133</v>
      </c>
      <c r="E44" s="30">
        <f>IFERROR(E15/$B44,0)</f>
        <v>58115380.056006484</v>
      </c>
      <c r="F44" s="30">
        <f>IFERROR(F15/$B44,0)</f>
        <v>402.75197482489097</v>
      </c>
      <c r="G44" s="30">
        <f t="shared" si="31"/>
        <v>391.90974474533067</v>
      </c>
      <c r="H44" s="30">
        <f t="shared" ref="H44:N44" si="41">IFERROR(H15/$B44,0)</f>
        <v>402.75197482489097</v>
      </c>
      <c r="I44" s="30">
        <f t="shared" si="41"/>
        <v>1174.0551864350432</v>
      </c>
      <c r="J44" s="30">
        <f t="shared" si="41"/>
        <v>519.24301687065531</v>
      </c>
      <c r="K44" s="30">
        <f t="shared" si="41"/>
        <v>408.97551527472365</v>
      </c>
      <c r="L44" s="30">
        <f t="shared" si="41"/>
        <v>382.7808025195244</v>
      </c>
      <c r="M44" s="30">
        <f t="shared" si="41"/>
        <v>42.752504008708854</v>
      </c>
      <c r="N44" s="30">
        <f t="shared" si="41"/>
        <v>114205.01203938689</v>
      </c>
      <c r="O44" s="30">
        <f t="shared" si="30"/>
        <v>42.736505651048908</v>
      </c>
    </row>
    <row r="45" spans="1:15" x14ac:dyDescent="0.25">
      <c r="A45" s="26" t="s">
        <v>20</v>
      </c>
      <c r="B45" s="26" t="s">
        <v>289</v>
      </c>
      <c r="C45" s="110"/>
      <c r="D45" s="27">
        <f>IFERROR(IF(AND(D46&lt;&gt;0,D47&lt;&gt;0),1/SUM(1/D46,1/D47),IF(AND(D46&lt;&gt;0,D47=0),1/(1/D46),IF(AND(D46=0,D47&lt;&gt;0),1/(1/D47),IF(AND(D46=0,D47=0),".")))),".")</f>
        <v>55.934863851045449</v>
      </c>
      <c r="E45" s="27">
        <f t="shared" ref="E45:O45" si="42">IFERROR(IF(AND(E46&lt;&gt;0,E47&lt;&gt;0),1/SUM(1/E46,1/E47),IF(AND(E46&lt;&gt;0,E47=0),1/(1/E46),IF(AND(E46=0,E47&lt;&gt;0),1/(1/E47),IF(AND(E46=0,E47=0),".")))),".")</f>
        <v>107424.09306001532</v>
      </c>
      <c r="F45" s="27">
        <f t="shared" si="42"/>
        <v>7.6770800478620199E-2</v>
      </c>
      <c r="G45" s="28">
        <f t="shared" si="42"/>
        <v>7.6665521986646043E-2</v>
      </c>
      <c r="H45" s="27">
        <f t="shared" si="42"/>
        <v>7.6770800478620199E-2</v>
      </c>
      <c r="I45" s="27">
        <f t="shared" si="42"/>
        <v>0.37659036645727584</v>
      </c>
      <c r="J45" s="27">
        <f t="shared" si="42"/>
        <v>0.13355516104910667</v>
      </c>
      <c r="K45" s="27">
        <f t="shared" si="42"/>
        <v>8.6131205906147257E-2</v>
      </c>
      <c r="L45" s="27">
        <f t="shared" si="42"/>
        <v>0.38435362759652875</v>
      </c>
      <c r="M45" s="27">
        <f t="shared" si="42"/>
        <v>7.9026394815868511E-2</v>
      </c>
      <c r="N45" s="27">
        <f t="shared" si="42"/>
        <v>81.708793621608081</v>
      </c>
      <c r="O45" s="28">
        <f t="shared" si="42"/>
        <v>7.8950036611476468E-2</v>
      </c>
    </row>
    <row r="46" spans="1:15" x14ac:dyDescent="0.25">
      <c r="A46" s="29" t="s">
        <v>303</v>
      </c>
      <c r="B46" s="24">
        <v>1</v>
      </c>
      <c r="C46" s="2"/>
      <c r="D46" s="30">
        <f>IFERROR(D10/$B46,0)</f>
        <v>55.934863851045449</v>
      </c>
      <c r="E46" s="30">
        <f>IFERROR(E10/$B46,0)</f>
        <v>107424.09306001532</v>
      </c>
      <c r="F46" s="30">
        <f>IFERROR(F10/$B46,0)</f>
        <v>352.47211175347894</v>
      </c>
      <c r="G46" s="30">
        <f t="shared" si="31"/>
        <v>48.252417372979295</v>
      </c>
      <c r="H46" s="30">
        <f t="shared" ref="H46:N46" si="43">IFERROR(H10/$B46,0)</f>
        <v>352.47211175347894</v>
      </c>
      <c r="I46" s="30">
        <f t="shared" si="43"/>
        <v>1011.6462916225458</v>
      </c>
      <c r="J46" s="30">
        <f t="shared" si="43"/>
        <v>459.02893408423876</v>
      </c>
      <c r="K46" s="30">
        <f t="shared" si="43"/>
        <v>359.30885530042144</v>
      </c>
      <c r="L46" s="30">
        <f t="shared" si="43"/>
        <v>351.72849970336614</v>
      </c>
      <c r="M46" s="30">
        <f t="shared" si="43"/>
        <v>7.9026394815868511E-2</v>
      </c>
      <c r="N46" s="30">
        <f t="shared" si="43"/>
        <v>119941.94881970904</v>
      </c>
      <c r="O46" s="30">
        <f t="shared" ref="O46:O47" si="44">IFERROR(IF(AND(M46&lt;&gt;0,N46&lt;&gt;0),1/((1/M46)+(1/N46)),IF(AND(M46&lt;&gt;0,N46=0),1/((1/M46)),IF(AND(M46=0,N46&lt;&gt;0),1/((1/N46)),IF(AND(M46=0,N46=0),0)))),0)</f>
        <v>7.9026342747621964E-2</v>
      </c>
    </row>
    <row r="47" spans="1:15" x14ac:dyDescent="0.25">
      <c r="A47" s="29" t="s">
        <v>304</v>
      </c>
      <c r="B47" s="32">
        <v>0.94399</v>
      </c>
      <c r="C47" s="2"/>
      <c r="D47" s="30">
        <f>IFERROR(D6/$B$47,0)</f>
        <v>0</v>
      </c>
      <c r="E47" s="30">
        <f>IFERROR(E6/$B$47,0)</f>
        <v>0</v>
      </c>
      <c r="F47" s="30">
        <f>IFERROR(F6/$B$47,0)</f>
        <v>7.6787525318937858E-2</v>
      </c>
      <c r="G47" s="30">
        <f t="shared" si="31"/>
        <v>7.6787525318937858E-2</v>
      </c>
      <c r="H47" s="30">
        <f t="shared" ref="H47:N47" si="45">IFERROR(H6/$B$47,0)</f>
        <v>7.6787525318937858E-2</v>
      </c>
      <c r="I47" s="30">
        <f t="shared" si="45"/>
        <v>0.37673060630024974</v>
      </c>
      <c r="J47" s="30">
        <f t="shared" si="45"/>
        <v>0.13359403043385557</v>
      </c>
      <c r="K47" s="30">
        <f t="shared" si="45"/>
        <v>8.6151857674905893E-2</v>
      </c>
      <c r="L47" s="30">
        <f t="shared" si="45"/>
        <v>0.38477409201210705</v>
      </c>
      <c r="M47" s="30">
        <f t="shared" si="45"/>
        <v>0</v>
      </c>
      <c r="N47" s="30">
        <f t="shared" si="45"/>
        <v>81.764494552572728</v>
      </c>
      <c r="O47" s="30">
        <f t="shared" si="44"/>
        <v>81.764494552572728</v>
      </c>
    </row>
    <row r="48" spans="1:15" x14ac:dyDescent="0.25">
      <c r="A48" s="26" t="s">
        <v>33</v>
      </c>
      <c r="B48" s="26" t="s">
        <v>289</v>
      </c>
      <c r="C48" s="112"/>
      <c r="D48" s="27">
        <f>1/SUM(1/D49,1/D52,1/D54,1/D58,1/D59,1/D61)</f>
        <v>0.76180962193890756</v>
      </c>
      <c r="E48" s="27">
        <f>1/SUM(1/E49,1/E50,1/E51,1/E52,1/E54,1/E58,1/E59,1/E61)</f>
        <v>204.2963920853465</v>
      </c>
      <c r="F48" s="27">
        <f>1/SUM(1/F49,1/F50,1/F51,1/F52,1/F53,1/F54,1/F55,1/F56,1/F57,1/F58,1/F59,1/F60,1/F61,1/F62)</f>
        <v>2.3252013234957857E-2</v>
      </c>
      <c r="G48" s="28">
        <f>1/SUM(1/G49,1/G50,1/G51,1/G52,1/G53,1/G54,1/G55,1/G56,1/G57,1/G58,1/G59,1/G60,1/G61,1/G62)</f>
        <v>2.2560841685177448E-2</v>
      </c>
      <c r="H48" s="27">
        <f t="shared" ref="H48:O48" si="46">1/SUM(1/H49,1/H50,1/H51,1/H52,1/H53,1/H54,1/H55,1/H56,1/H57,1/H58,1/H59,1/H60,1/H61,1/H62)</f>
        <v>2.3252013234957857E-2</v>
      </c>
      <c r="I48" s="27">
        <f t="shared" si="46"/>
        <v>0.12465516313744524</v>
      </c>
      <c r="J48" s="27">
        <f t="shared" si="46"/>
        <v>4.3606289802349797E-2</v>
      </c>
      <c r="K48" s="27">
        <f t="shared" si="46"/>
        <v>2.7398876954684431E-2</v>
      </c>
      <c r="L48" s="27">
        <f t="shared" si="46"/>
        <v>0.12797832121566599</v>
      </c>
      <c r="M48" s="27">
        <f>1/SUM(1/M49,1/M50,1/M51,1/M52,1/M54,1/M58,1/M59,1/M61)</f>
        <v>1.5029037602741819E-4</v>
      </c>
      <c r="N48" s="27">
        <f t="shared" si="46"/>
        <v>25.111801248980694</v>
      </c>
      <c r="O48" s="28">
        <f t="shared" si="46"/>
        <v>1.5028947656737062E-4</v>
      </c>
    </row>
    <row r="49" spans="1:15" x14ac:dyDescent="0.25">
      <c r="A49" s="29" t="s">
        <v>305</v>
      </c>
      <c r="B49" s="24">
        <v>1</v>
      </c>
      <c r="C49" s="109"/>
      <c r="D49" s="30">
        <f>IFERROR(D23/$B49,0)</f>
        <v>6.0361869407095536</v>
      </c>
      <c r="E49" s="30">
        <f>IFERROR(E23/$B49,0)</f>
        <v>429.13172523317553</v>
      </c>
      <c r="F49" s="30">
        <f>IFERROR(F23/$B49,0)</f>
        <v>7.7906219093175482</v>
      </c>
      <c r="G49" s="30">
        <f t="shared" si="31"/>
        <v>3.3743059095107175</v>
      </c>
      <c r="H49" s="30">
        <f t="shared" ref="H49:N49" si="47">IFERROR(H23/$B49,0)</f>
        <v>7.7906219093175482</v>
      </c>
      <c r="I49" s="30">
        <f t="shared" si="47"/>
        <v>30.737335704165851</v>
      </c>
      <c r="J49" s="30">
        <f t="shared" si="47"/>
        <v>11.242030266985541</v>
      </c>
      <c r="K49" s="30">
        <f t="shared" si="47"/>
        <v>8.0153513874709414</v>
      </c>
      <c r="L49" s="30">
        <f t="shared" si="47"/>
        <v>31.162487637270193</v>
      </c>
      <c r="M49" s="30">
        <f t="shared" si="47"/>
        <v>3.1569019742475724E-4</v>
      </c>
      <c r="N49" s="30">
        <f t="shared" si="47"/>
        <v>6832.7585598112928</v>
      </c>
      <c r="O49" s="30">
        <f t="shared" ref="O49:O62" si="48">IFERROR(IF(AND(M49&lt;&gt;0,N49&lt;&gt;0),1/((1/M49)+(1/N49)),IF(AND(M49&lt;&gt;0,N49=0),1/((1/M49)),IF(AND(M49=0,N49&lt;&gt;0),1/((1/N49)),IF(AND(M49=0,N49=0),0)))),0)</f>
        <v>3.1569018283909682E-4</v>
      </c>
    </row>
    <row r="50" spans="1:15" x14ac:dyDescent="0.25">
      <c r="A50" s="29" t="s">
        <v>306</v>
      </c>
      <c r="B50" s="24">
        <v>1</v>
      </c>
      <c r="C50" s="109"/>
      <c r="D50" s="30">
        <f>IFERROR(D25/$B50,0)</f>
        <v>0</v>
      </c>
      <c r="E50" s="30">
        <f>IFERROR(E25/$B50,0)</f>
        <v>5299588.5909607559</v>
      </c>
      <c r="F50" s="30">
        <f>IFERROR(F25/$B50,0)</f>
        <v>114.97883369613488</v>
      </c>
      <c r="G50" s="30">
        <f t="shared" si="31"/>
        <v>114.97633919205101</v>
      </c>
      <c r="H50" s="30">
        <f t="shared" ref="H50:N50" si="49">IFERROR(H25/$B50,0)</f>
        <v>114.97883369613488</v>
      </c>
      <c r="I50" s="30">
        <f t="shared" si="49"/>
        <v>545.54747663414776</v>
      </c>
      <c r="J50" s="30">
        <f t="shared" si="49"/>
        <v>193.32016333417852</v>
      </c>
      <c r="K50" s="30">
        <f t="shared" si="49"/>
        <v>126.30250671166331</v>
      </c>
      <c r="L50" s="30">
        <f t="shared" si="49"/>
        <v>555.73102953131854</v>
      </c>
      <c r="M50" s="30">
        <f t="shared" si="49"/>
        <v>3.8986354775828467</v>
      </c>
      <c r="N50" s="30">
        <f t="shared" si="49"/>
        <v>119941.94881970904</v>
      </c>
      <c r="O50" s="30">
        <f t="shared" si="48"/>
        <v>3.8985087590768748</v>
      </c>
    </row>
    <row r="51" spans="1:15" x14ac:dyDescent="0.25">
      <c r="A51" s="29" t="s">
        <v>307</v>
      </c>
      <c r="B51" s="24">
        <v>1</v>
      </c>
      <c r="C51" s="109"/>
      <c r="D51" s="30">
        <f>IFERROR(D21/$B51,0)</f>
        <v>0</v>
      </c>
      <c r="E51" s="30">
        <f>IFERROR(E21/$B51,0)</f>
        <v>869285.03506406629</v>
      </c>
      <c r="F51" s="30">
        <f>IFERROR(F21/$B51,0)</f>
        <v>31611548.892566469</v>
      </c>
      <c r="G51" s="30">
        <f t="shared" si="31"/>
        <v>846020.3469138178</v>
      </c>
      <c r="H51" s="30">
        <f t="shared" ref="H51:N51" si="50">IFERROR(H21/$B51,0)</f>
        <v>31611548.892566469</v>
      </c>
      <c r="I51" s="30">
        <f t="shared" si="50"/>
        <v>68507276.81599094</v>
      </c>
      <c r="J51" s="30">
        <f t="shared" si="50"/>
        <v>36180405.568445213</v>
      </c>
      <c r="K51" s="30">
        <f t="shared" si="50"/>
        <v>31719807.621650603</v>
      </c>
      <c r="L51" s="30">
        <f t="shared" si="50"/>
        <v>40802571.918599017</v>
      </c>
      <c r="M51" s="30">
        <f t="shared" si="50"/>
        <v>0.63948840927258188</v>
      </c>
      <c r="N51" s="30">
        <f t="shared" si="50"/>
        <v>4932523930.7513466</v>
      </c>
      <c r="O51" s="30">
        <f t="shared" si="48"/>
        <v>0.63948840918967387</v>
      </c>
    </row>
    <row r="52" spans="1:15" x14ac:dyDescent="0.25">
      <c r="A52" s="29" t="s">
        <v>308</v>
      </c>
      <c r="B52" s="32">
        <v>0.99980000000000002</v>
      </c>
      <c r="C52" s="109"/>
      <c r="D52" s="30">
        <f>IFERROR(D17/$B52,0)</f>
        <v>8063.365701336249</v>
      </c>
      <c r="E52" s="30">
        <f>IFERROR(E17/$B52,0)</f>
        <v>155540.27134114754</v>
      </c>
      <c r="F52" s="30">
        <f>IFERROR(F17/$B52,0)</f>
        <v>0.19594907096506911</v>
      </c>
      <c r="G52" s="30">
        <f t="shared" si="31"/>
        <v>0.19594406244911441</v>
      </c>
      <c r="H52" s="30">
        <f t="shared" ref="H52:N52" si="51">IFERROR(H17/$B52,0)</f>
        <v>0.19594907096506911</v>
      </c>
      <c r="I52" s="30">
        <f t="shared" si="51"/>
        <v>0.86132571999624918</v>
      </c>
      <c r="J52" s="30">
        <f t="shared" si="51"/>
        <v>0.30925938314405382</v>
      </c>
      <c r="K52" s="30">
        <f t="shared" si="51"/>
        <v>0.20922541956245144</v>
      </c>
      <c r="L52" s="30">
        <f t="shared" si="51"/>
        <v>0.87305057272918229</v>
      </c>
      <c r="M52" s="30">
        <f t="shared" si="51"/>
        <v>0.11442299899991436</v>
      </c>
      <c r="N52" s="30">
        <f t="shared" si="51"/>
        <v>191.01106459481534</v>
      </c>
      <c r="O52" s="30">
        <f t="shared" si="48"/>
        <v>0.1143544962436103</v>
      </c>
    </row>
    <row r="53" spans="1:15" x14ac:dyDescent="0.25">
      <c r="A53" s="29" t="s">
        <v>309</v>
      </c>
      <c r="B53" s="24">
        <v>2.0000000000000001E-4</v>
      </c>
      <c r="C53" s="109"/>
      <c r="D53" s="30">
        <f>IFERROR(D5/$B53,0)</f>
        <v>0</v>
      </c>
      <c r="E53" s="30">
        <f>IFERROR(E5/$B53,0)</f>
        <v>0</v>
      </c>
      <c r="F53" s="30">
        <f>IFERROR(F5/$B53,0)</f>
        <v>39413548.193710521</v>
      </c>
      <c r="G53" s="30">
        <f t="shared" si="31"/>
        <v>39413548.193710521</v>
      </c>
      <c r="H53" s="30">
        <f t="shared" ref="H53:N53" si="52">IFERROR(H5/$B53,0)</f>
        <v>39413548.193710521</v>
      </c>
      <c r="I53" s="30">
        <f t="shared" si="52"/>
        <v>128927948.57352413</v>
      </c>
      <c r="J53" s="30">
        <f t="shared" si="52"/>
        <v>58658542.276896611</v>
      </c>
      <c r="K53" s="30">
        <f t="shared" si="52"/>
        <v>42293076.828867465</v>
      </c>
      <c r="L53" s="30">
        <f t="shared" si="52"/>
        <v>54164817.693110973</v>
      </c>
      <c r="M53" s="30">
        <f t="shared" si="52"/>
        <v>0</v>
      </c>
      <c r="N53" s="30">
        <f t="shared" si="52"/>
        <v>31575626677.915821</v>
      </c>
      <c r="O53" s="30">
        <f t="shared" si="48"/>
        <v>31575626677.915825</v>
      </c>
    </row>
    <row r="54" spans="1:15" x14ac:dyDescent="0.25">
      <c r="A54" s="29" t="s">
        <v>310</v>
      </c>
      <c r="B54" s="24">
        <v>0.99999979999999999</v>
      </c>
      <c r="C54" s="109"/>
      <c r="D54" s="30">
        <f>IFERROR(D9/$B54,0)</f>
        <v>12072.376295894366</v>
      </c>
      <c r="E54" s="30">
        <f>IFERROR(E9/$B54,0)</f>
        <v>195518.84148872821</v>
      </c>
      <c r="F54" s="30">
        <f>IFERROR(F9/$B54,0)</f>
        <v>2.6505459809739906E-2</v>
      </c>
      <c r="G54" s="30">
        <f t="shared" si="31"/>
        <v>2.6505398022716953E-2</v>
      </c>
      <c r="H54" s="30">
        <f t="shared" ref="H54:N54" si="53">IFERROR(H9/$B54,0)</f>
        <v>2.6505459809739906E-2</v>
      </c>
      <c r="I54" s="30">
        <f t="shared" si="53"/>
        <v>0.14675998433385914</v>
      </c>
      <c r="J54" s="30">
        <f t="shared" si="53"/>
        <v>5.1078229841686272E-2</v>
      </c>
      <c r="K54" s="30">
        <f t="shared" si="53"/>
        <v>3.1695692434080609E-2</v>
      </c>
      <c r="L54" s="30">
        <f t="shared" si="53"/>
        <v>0.15156303836660362</v>
      </c>
      <c r="M54" s="30">
        <f t="shared" si="53"/>
        <v>0.14383318230852787</v>
      </c>
      <c r="N54" s="30">
        <f t="shared" si="53"/>
        <v>29.095871239662127</v>
      </c>
      <c r="O54" s="30">
        <f t="shared" si="48"/>
        <v>0.14312565175232109</v>
      </c>
    </row>
    <row r="55" spans="1:15" x14ac:dyDescent="0.25">
      <c r="A55" s="29" t="s">
        <v>311</v>
      </c>
      <c r="B55" s="24">
        <v>1.9999999999999999E-7</v>
      </c>
      <c r="C55" s="109"/>
      <c r="D55" s="30">
        <f>IFERROR(D24/$B55,0)</f>
        <v>0</v>
      </c>
      <c r="E55" s="30">
        <f>IFERROR(E24/$B55,0)</f>
        <v>0</v>
      </c>
      <c r="F55" s="30">
        <f>IFERROR(F24/$B55,0)</f>
        <v>287447084.24033725</v>
      </c>
      <c r="G55" s="30">
        <f t="shared" si="31"/>
        <v>287447084.24033725</v>
      </c>
      <c r="H55" s="30">
        <f t="shared" ref="H55:N55" si="54">IFERROR(H24/$B55,0)</f>
        <v>287447084.24033725</v>
      </c>
      <c r="I55" s="30">
        <f t="shared" si="54"/>
        <v>1396777051.435955</v>
      </c>
      <c r="J55" s="30">
        <f t="shared" si="54"/>
        <v>496188419.22439152</v>
      </c>
      <c r="K55" s="30">
        <f t="shared" si="54"/>
        <v>320614055.49883765</v>
      </c>
      <c r="L55" s="30">
        <f t="shared" si="54"/>
        <v>1429839698.6226034</v>
      </c>
      <c r="M55" s="30">
        <f t="shared" si="54"/>
        <v>0</v>
      </c>
      <c r="N55" s="30">
        <f t="shared" si="54"/>
        <v>305346719522.70251</v>
      </c>
      <c r="O55" s="30">
        <f t="shared" si="48"/>
        <v>305346719522.70251</v>
      </c>
    </row>
    <row r="56" spans="1:15" x14ac:dyDescent="0.25">
      <c r="A56" s="29" t="s">
        <v>312</v>
      </c>
      <c r="B56" s="24">
        <v>0.99979000004200003</v>
      </c>
      <c r="C56" s="109"/>
      <c r="D56" s="30">
        <f>IFERROR(D20/$B56,0)</f>
        <v>0</v>
      </c>
      <c r="E56" s="30">
        <f>IFERROR(E20/$B56,0)</f>
        <v>0</v>
      </c>
      <c r="F56" s="30">
        <f>IFERROR(F20/$B56,0)</f>
        <v>505.31614321550524</v>
      </c>
      <c r="G56" s="30">
        <f t="shared" si="31"/>
        <v>505.31614321550524</v>
      </c>
      <c r="H56" s="30">
        <f t="shared" ref="H56:N56" si="55">IFERROR(H20/$B56,0)</f>
        <v>505.31614321550524</v>
      </c>
      <c r="I56" s="30">
        <f t="shared" si="55"/>
        <v>2554.4474151519103</v>
      </c>
      <c r="J56" s="30">
        <f t="shared" si="55"/>
        <v>906.27351772346037</v>
      </c>
      <c r="K56" s="30">
        <f t="shared" si="55"/>
        <v>577.00459259901982</v>
      </c>
      <c r="L56" s="30">
        <f t="shared" si="55"/>
        <v>2621.9233846087532</v>
      </c>
      <c r="M56" s="30">
        <f t="shared" si="55"/>
        <v>0</v>
      </c>
      <c r="N56" s="30">
        <f t="shared" si="55"/>
        <v>544948.78189907421</v>
      </c>
      <c r="O56" s="30">
        <f t="shared" si="48"/>
        <v>544948.78189907421</v>
      </c>
    </row>
    <row r="57" spans="1:15" x14ac:dyDescent="0.25">
      <c r="A57" s="29" t="s">
        <v>313</v>
      </c>
      <c r="B57" s="24">
        <v>2.0999995799999999E-4</v>
      </c>
      <c r="C57" s="109"/>
      <c r="D57" s="30">
        <f>IFERROR(D29/$B57,0)</f>
        <v>0</v>
      </c>
      <c r="E57" s="30">
        <f>IFERROR(E29/$B57,0)</f>
        <v>0</v>
      </c>
      <c r="F57" s="30">
        <f>IFERROR(F29/$B57,0)</f>
        <v>69.034924307769771</v>
      </c>
      <c r="G57" s="30">
        <f t="shared" si="31"/>
        <v>69.034924307769771</v>
      </c>
      <c r="H57" s="30">
        <f t="shared" ref="H57:N57" si="56">IFERROR(H29/$B57,0)</f>
        <v>69.034924307769771</v>
      </c>
      <c r="I57" s="30">
        <f t="shared" si="56"/>
        <v>373.07407403165053</v>
      </c>
      <c r="J57" s="30">
        <f t="shared" si="56"/>
        <v>130.23320694543185</v>
      </c>
      <c r="K57" s="30">
        <f t="shared" si="56"/>
        <v>81.593178781022843</v>
      </c>
      <c r="L57" s="30">
        <f t="shared" si="56"/>
        <v>385.38914055308368</v>
      </c>
      <c r="M57" s="30">
        <f t="shared" si="56"/>
        <v>0</v>
      </c>
      <c r="N57" s="30">
        <f t="shared" si="56"/>
        <v>74896.380145221934</v>
      </c>
      <c r="O57" s="30">
        <f t="shared" si="48"/>
        <v>74896.380145221934</v>
      </c>
    </row>
    <row r="58" spans="1:15" x14ac:dyDescent="0.25">
      <c r="A58" s="29" t="s">
        <v>314</v>
      </c>
      <c r="B58" s="24">
        <v>1</v>
      </c>
      <c r="C58" s="109"/>
      <c r="D58" s="30">
        <f>IFERROR(D16/$B58,0)</f>
        <v>2.9659288918548175</v>
      </c>
      <c r="E58" s="30">
        <f>IFERROR(E16/$B58,0)</f>
        <v>761.23366643926954</v>
      </c>
      <c r="F58" s="30">
        <f>IFERROR(F16/$B58,0)</f>
        <v>131.27504634598077</v>
      </c>
      <c r="G58" s="30">
        <f t="shared" si="31"/>
        <v>2.889390510464112</v>
      </c>
      <c r="H58" s="30">
        <f t="shared" ref="H58:N58" si="57">IFERROR(H16/$B58,0)</f>
        <v>131.27504634598077</v>
      </c>
      <c r="I58" s="30">
        <f t="shared" si="57"/>
        <v>204.3128785041612</v>
      </c>
      <c r="J58" s="30">
        <f t="shared" si="57"/>
        <v>132.73830323200283</v>
      </c>
      <c r="K58" s="30">
        <f t="shared" si="57"/>
        <v>131.27504634598077</v>
      </c>
      <c r="L58" s="30">
        <f t="shared" si="57"/>
        <v>113.41449582271808</v>
      </c>
      <c r="M58" s="30">
        <f t="shared" si="57"/>
        <v>5.6000056000056009E-4</v>
      </c>
      <c r="N58" s="30">
        <f t="shared" si="57"/>
        <v>49471.605002788005</v>
      </c>
      <c r="O58" s="30">
        <f t="shared" si="48"/>
        <v>5.6000055366155774E-4</v>
      </c>
    </row>
    <row r="59" spans="1:15" x14ac:dyDescent="0.25">
      <c r="A59" s="29" t="s">
        <v>315</v>
      </c>
      <c r="B59" s="24">
        <v>1</v>
      </c>
      <c r="C59" s="109"/>
      <c r="D59" s="30">
        <f>IFERROR(D7/$B59,0)</f>
        <v>475.72324800047568</v>
      </c>
      <c r="E59" s="30">
        <f>IFERROR(E7/$B59,0)</f>
        <v>26550.344951418418</v>
      </c>
      <c r="F59" s="30">
        <f>IFERROR(F7/$B59,0)</f>
        <v>70.345699940673228</v>
      </c>
      <c r="G59" s="30">
        <f t="shared" si="31"/>
        <v>61.142496035272117</v>
      </c>
      <c r="H59" s="30">
        <f t="shared" ref="H59:N59" si="58">IFERROR(H7/$B59,0)</f>
        <v>70.345699940673228</v>
      </c>
      <c r="I59" s="30">
        <f t="shared" si="58"/>
        <v>203.9130489963253</v>
      </c>
      <c r="J59" s="30">
        <f t="shared" si="58"/>
        <v>94.726880033747463</v>
      </c>
      <c r="K59" s="30">
        <f t="shared" si="58"/>
        <v>72.486656025824146</v>
      </c>
      <c r="L59" s="30">
        <f t="shared" si="58"/>
        <v>40.367871394526766</v>
      </c>
      <c r="M59" s="30">
        <f t="shared" si="58"/>
        <v>1.9531726848800019E-2</v>
      </c>
      <c r="N59" s="30">
        <f t="shared" si="58"/>
        <v>36803.37943916017</v>
      </c>
      <c r="O59" s="30">
        <f t="shared" si="48"/>
        <v>1.9531716483226068E-2</v>
      </c>
    </row>
    <row r="60" spans="1:15" x14ac:dyDescent="0.25">
      <c r="A60" s="29" t="s">
        <v>316</v>
      </c>
      <c r="B60" s="33">
        <v>1.9000000000000001E-8</v>
      </c>
      <c r="C60" s="109"/>
      <c r="D60" s="30">
        <f>IFERROR(D12/$B60,0)</f>
        <v>0</v>
      </c>
      <c r="E60" s="30">
        <f>IFERROR(E12/$B60,0)</f>
        <v>0</v>
      </c>
      <c r="F60" s="30">
        <f>IFERROR(F12/$B60,0)</f>
        <v>21194928.662521679</v>
      </c>
      <c r="G60" s="30">
        <f t="shared" si="31"/>
        <v>21194928.662521679</v>
      </c>
      <c r="H60" s="30">
        <f t="shared" ref="H60:N60" si="59">IFERROR(H12/$B60,0)</f>
        <v>21194928.662521679</v>
      </c>
      <c r="I60" s="30">
        <f t="shared" si="59"/>
        <v>93268499.854208946</v>
      </c>
      <c r="J60" s="30">
        <f t="shared" si="59"/>
        <v>33440169.459923688</v>
      </c>
      <c r="K60" s="30">
        <f t="shared" si="59"/>
        <v>22673644.615720864</v>
      </c>
      <c r="L60" s="30">
        <f t="shared" si="59"/>
        <v>91689660.044764623</v>
      </c>
      <c r="M60" s="30">
        <f t="shared" si="59"/>
        <v>0</v>
      </c>
      <c r="N60" s="30">
        <f t="shared" si="59"/>
        <v>20646354038.315239</v>
      </c>
      <c r="O60" s="30">
        <f t="shared" si="48"/>
        <v>20646354038.315239</v>
      </c>
    </row>
    <row r="61" spans="1:15" x14ac:dyDescent="0.25">
      <c r="A61" s="29" t="s">
        <v>317</v>
      </c>
      <c r="B61" s="24">
        <v>1</v>
      </c>
      <c r="C61" s="109"/>
      <c r="D61" s="30">
        <f>IFERROR(D18/$B61,0)</f>
        <v>1.2383517538156712</v>
      </c>
      <c r="E61" s="30">
        <f>IFERROR(E18/$B61,0)</f>
        <v>833.08480332256772</v>
      </c>
      <c r="F61" s="30">
        <f>IFERROR(F18/$B61,0)</f>
        <v>4319.1530792589529</v>
      </c>
      <c r="G61" s="30">
        <f t="shared" si="31"/>
        <v>1.2361598234882729</v>
      </c>
      <c r="H61" s="30">
        <f t="shared" ref="H61:N61" si="60">IFERROR(H18/$B61,0)</f>
        <v>4319.1530792589529</v>
      </c>
      <c r="I61" s="30">
        <f t="shared" si="60"/>
        <v>21753.563264534911</v>
      </c>
      <c r="J61" s="30">
        <f t="shared" si="60"/>
        <v>7661.7329439060477</v>
      </c>
      <c r="K61" s="30">
        <f t="shared" si="60"/>
        <v>4917.9737126665359</v>
      </c>
      <c r="L61" s="30">
        <f t="shared" si="60"/>
        <v>22378.430719381951</v>
      </c>
      <c r="M61" s="30">
        <f t="shared" si="60"/>
        <v>6.128577557148985E-4</v>
      </c>
      <c r="N61" s="30">
        <f t="shared" si="60"/>
        <v>4656963.9346199874</v>
      </c>
      <c r="O61" s="30">
        <f t="shared" si="48"/>
        <v>6.1285775563424622E-4</v>
      </c>
    </row>
    <row r="62" spans="1:15" x14ac:dyDescent="0.25">
      <c r="A62" s="29" t="s">
        <v>318</v>
      </c>
      <c r="B62" s="24">
        <v>1.339E-6</v>
      </c>
      <c r="C62" s="109"/>
      <c r="D62" s="30">
        <f>IFERROR(D27/$B62,0)</f>
        <v>0</v>
      </c>
      <c r="E62" s="30">
        <f>IFERROR(E27/$B62,0)</f>
        <v>0</v>
      </c>
      <c r="F62" s="30">
        <f>IFERROR(F27/$B62,0)</f>
        <v>23806943.176880032</v>
      </c>
      <c r="G62" s="30">
        <f t="shared" ref="G62" si="61">IFERROR(SUM(D62:F62),0)</f>
        <v>23806943.176880032</v>
      </c>
      <c r="H62" s="30">
        <f t="shared" ref="H62:N62" si="62">IFERROR(H27/$B62,0)</f>
        <v>23806943.176880032</v>
      </c>
      <c r="I62" s="30">
        <f t="shared" si="62"/>
        <v>70107158.116600558</v>
      </c>
      <c r="J62" s="30">
        <f t="shared" si="62"/>
        <v>32974129.453146864</v>
      </c>
      <c r="K62" s="30">
        <f t="shared" si="62"/>
        <v>24802851.158382986</v>
      </c>
      <c r="L62" s="30">
        <f t="shared" si="62"/>
        <v>16963257.876714244</v>
      </c>
      <c r="M62" s="30">
        <f t="shared" si="62"/>
        <v>0</v>
      </c>
      <c r="N62" s="30">
        <f t="shared" si="62"/>
        <v>15467119604.358084</v>
      </c>
      <c r="O62" s="30">
        <f t="shared" si="48"/>
        <v>15467119604.358086</v>
      </c>
    </row>
    <row r="63" spans="1:15" x14ac:dyDescent="0.25">
      <c r="A63" s="26" t="s">
        <v>35</v>
      </c>
      <c r="B63" s="26" t="s">
        <v>289</v>
      </c>
      <c r="C63" s="110"/>
      <c r="D63" s="27">
        <f>1/SUM(1/D66,1/D68,1/D72,1/D73,1/D75)</f>
        <v>0.87184230731644319</v>
      </c>
      <c r="E63" s="27">
        <f>1/SUM(1/E64,1/E65,1/E66,1/E68,1/E72,1/E73,1/E75)</f>
        <v>389.93009669372128</v>
      </c>
      <c r="F63" s="27">
        <f>1/SUM(1/F64,1/F65,1/F66,1/F67,1/F68,1/F69,1/F70,1/F71,1/F72,1/F73,1/F74,1/F75,1/F76)</f>
        <v>2.3321619308405105E-2</v>
      </c>
      <c r="G63" s="28">
        <f>1/SUM(1/G64,1/G65,1/G66,1/G67,1/G68,1/G69,1/G70,1/G71,1/G72,1/G73,1/G74,1/G75,1/G76)</f>
        <v>2.271270036393843E-2</v>
      </c>
      <c r="H63" s="27">
        <f t="shared" ref="H63:O63" si="63">1/SUM(1/H64,1/H65,1/H66,1/H67,1/H68,1/H69,1/H70,1/H71,1/H72,1/H73,1/H74,1/H75,1/H76)</f>
        <v>2.3321619308405105E-2</v>
      </c>
      <c r="I63" s="27">
        <f t="shared" si="63"/>
        <v>0.12516276029725606</v>
      </c>
      <c r="J63" s="27">
        <f t="shared" si="63"/>
        <v>4.3776091241748839E-2</v>
      </c>
      <c r="K63" s="27">
        <f t="shared" si="63"/>
        <v>2.7492855788107593E-2</v>
      </c>
      <c r="L63" s="27">
        <f t="shared" si="63"/>
        <v>0.12850607084219889</v>
      </c>
      <c r="M63" s="27">
        <f>1/SUM(1/M64,1/M65,1/M66,1/M68,1/M72,1/M73,1/M75)</f>
        <v>2.8685157020308567E-4</v>
      </c>
      <c r="N63" s="27">
        <f t="shared" si="63"/>
        <v>25.204432753571492</v>
      </c>
      <c r="O63" s="28">
        <f t="shared" si="63"/>
        <v>2.8684830558341862E-4</v>
      </c>
    </row>
    <row r="64" spans="1:15" x14ac:dyDescent="0.25">
      <c r="A64" s="29" t="s">
        <v>306</v>
      </c>
      <c r="B64" s="34">
        <v>1</v>
      </c>
      <c r="C64" s="2"/>
      <c r="D64" s="30">
        <f>IFERROR(D25/$B50,0)</f>
        <v>0</v>
      </c>
      <c r="E64" s="30">
        <f>IFERROR(E25/$B50,0)</f>
        <v>5299588.5909607559</v>
      </c>
      <c r="F64" s="30">
        <f>IFERROR(F25/$B50,0)</f>
        <v>114.97883369613488</v>
      </c>
      <c r="G64" s="30">
        <f t="shared" ref="G64:G76" si="64">IF(AND(D64&lt;&gt;0,E64&lt;&gt;0,F64&lt;&gt;0),1/((1/D64)+(1/E64)+(1/F64)),IF(AND(D64&lt;&gt;0,E64&lt;&gt;0,F64=0), 1/((1/D64)+(1/E64)),IF(AND(D64&lt;&gt;0,E64=0,F64&lt;&gt;0),1/((1/D64)+(1/F64)),IF(AND(D64=0,E64&lt;&gt;0,F64&lt;&gt;0),1/((1/E64)+(1/F64)),IF(AND(D64&lt;&gt;0,E64=0,F64=0),1/((1/D64)),IF(AND(D64=0,E64&lt;&gt;0,F64=0),1/((1/E64)),IF(AND(D64=0,E64=0,F64&lt;&gt;0),1/((1/F64)),IF(AND(D64=0,E64=0,F64=0),0))))))))</f>
        <v>114.97633919205101</v>
      </c>
      <c r="H64" s="30">
        <f t="shared" ref="H64:N64" si="65">IFERROR(H25/$B50,0)</f>
        <v>114.97883369613488</v>
      </c>
      <c r="I64" s="30">
        <f t="shared" si="65"/>
        <v>545.54747663414776</v>
      </c>
      <c r="J64" s="30">
        <f t="shared" si="65"/>
        <v>193.32016333417852</v>
      </c>
      <c r="K64" s="30">
        <f t="shared" si="65"/>
        <v>126.30250671166331</v>
      </c>
      <c r="L64" s="30">
        <f t="shared" si="65"/>
        <v>555.73102953131854</v>
      </c>
      <c r="M64" s="30">
        <f t="shared" si="65"/>
        <v>3.8986354775828467</v>
      </c>
      <c r="N64" s="30">
        <f t="shared" si="65"/>
        <v>119941.94881970904</v>
      </c>
      <c r="O64" s="30">
        <f t="shared" ref="O64:O76" si="66">IFERROR(IF(AND(M64&lt;&gt;0,N64&lt;&gt;0),1/((1/M64)+(1/N64)),IF(AND(M64&lt;&gt;0,N64=0),1/((1/M64)),IF(AND(M64=0,N64&lt;&gt;0),1/((1/N64)),IF(AND(M64=0,N64=0),0)))),0)</f>
        <v>3.8985087590768748</v>
      </c>
    </row>
    <row r="65" spans="1:15" x14ac:dyDescent="0.25">
      <c r="A65" s="29" t="s">
        <v>307</v>
      </c>
      <c r="B65" s="34">
        <v>1</v>
      </c>
      <c r="C65" s="2"/>
      <c r="D65" s="30">
        <f>IFERROR(D21/$B51,0)</f>
        <v>0</v>
      </c>
      <c r="E65" s="30">
        <f>IFERROR(E21/$B51,0)</f>
        <v>869285.03506406629</v>
      </c>
      <c r="F65" s="30">
        <f>IFERROR(F21/$B51,0)</f>
        <v>31611548.892566469</v>
      </c>
      <c r="G65" s="30">
        <f t="shared" si="64"/>
        <v>846020.3469138178</v>
      </c>
      <c r="H65" s="30">
        <f t="shared" ref="H65:N65" si="67">IFERROR(H21/$B51,0)</f>
        <v>31611548.892566469</v>
      </c>
      <c r="I65" s="30">
        <f t="shared" si="67"/>
        <v>68507276.81599094</v>
      </c>
      <c r="J65" s="30">
        <f t="shared" si="67"/>
        <v>36180405.568445213</v>
      </c>
      <c r="K65" s="30">
        <f t="shared" si="67"/>
        <v>31719807.621650603</v>
      </c>
      <c r="L65" s="30">
        <f t="shared" si="67"/>
        <v>40802571.918599017</v>
      </c>
      <c r="M65" s="30">
        <f t="shared" si="67"/>
        <v>0.63948840927258188</v>
      </c>
      <c r="N65" s="30">
        <f t="shared" si="67"/>
        <v>4932523930.7513466</v>
      </c>
      <c r="O65" s="30">
        <f t="shared" si="66"/>
        <v>0.63948840918967387</v>
      </c>
    </row>
    <row r="66" spans="1:15" x14ac:dyDescent="0.25">
      <c r="A66" s="29" t="s">
        <v>308</v>
      </c>
      <c r="B66" s="35">
        <v>0.99980000000000002</v>
      </c>
      <c r="C66" s="2"/>
      <c r="D66" s="30">
        <f>IFERROR(D17/$B52,0)</f>
        <v>8063.365701336249</v>
      </c>
      <c r="E66" s="30">
        <f>IFERROR(E17/$B52,0)</f>
        <v>155540.27134114754</v>
      </c>
      <c r="F66" s="30">
        <f>IFERROR(F17/$B52,0)</f>
        <v>0.19594907096506911</v>
      </c>
      <c r="G66" s="30">
        <f t="shared" si="64"/>
        <v>0.19594406244911441</v>
      </c>
      <c r="H66" s="30">
        <f t="shared" ref="H66:N66" si="68">IFERROR(H17/$B52,0)</f>
        <v>0.19594907096506911</v>
      </c>
      <c r="I66" s="30">
        <f t="shared" si="68"/>
        <v>0.86132571999624918</v>
      </c>
      <c r="J66" s="30">
        <f t="shared" si="68"/>
        <v>0.30925938314405382</v>
      </c>
      <c r="K66" s="30">
        <f t="shared" si="68"/>
        <v>0.20922541956245144</v>
      </c>
      <c r="L66" s="30">
        <f t="shared" si="68"/>
        <v>0.87305057272918229</v>
      </c>
      <c r="M66" s="30">
        <f t="shared" si="68"/>
        <v>0.11442299899991436</v>
      </c>
      <c r="N66" s="30">
        <f t="shared" si="68"/>
        <v>191.01106459481534</v>
      </c>
      <c r="O66" s="30">
        <f t="shared" si="66"/>
        <v>0.1143544962436103</v>
      </c>
    </row>
    <row r="67" spans="1:15" x14ac:dyDescent="0.25">
      <c r="A67" s="29" t="s">
        <v>309</v>
      </c>
      <c r="B67" s="34">
        <v>2.0000000000000001E-4</v>
      </c>
      <c r="C67" s="2"/>
      <c r="D67" s="30">
        <f>IFERROR(D5/$B53,0)</f>
        <v>0</v>
      </c>
      <c r="E67" s="30">
        <f>IFERROR(E5/$B53,0)</f>
        <v>0</v>
      </c>
      <c r="F67" s="30">
        <f>IFERROR(F5/$B53,0)</f>
        <v>39413548.193710521</v>
      </c>
      <c r="G67" s="30">
        <f t="shared" si="64"/>
        <v>39413548.193710521</v>
      </c>
      <c r="H67" s="30">
        <f t="shared" ref="H67:N67" si="69">IFERROR(H5/$B53,0)</f>
        <v>39413548.193710521</v>
      </c>
      <c r="I67" s="30">
        <f t="shared" si="69"/>
        <v>128927948.57352413</v>
      </c>
      <c r="J67" s="30">
        <f t="shared" si="69"/>
        <v>58658542.276896611</v>
      </c>
      <c r="K67" s="30">
        <f t="shared" si="69"/>
        <v>42293076.828867465</v>
      </c>
      <c r="L67" s="30">
        <f t="shared" si="69"/>
        <v>54164817.693110973</v>
      </c>
      <c r="M67" s="30">
        <f t="shared" si="69"/>
        <v>0</v>
      </c>
      <c r="N67" s="30">
        <f t="shared" si="69"/>
        <v>31575626677.915821</v>
      </c>
      <c r="O67" s="30">
        <f t="shared" si="66"/>
        <v>31575626677.915825</v>
      </c>
    </row>
    <row r="68" spans="1:15" x14ac:dyDescent="0.25">
      <c r="A68" s="29" t="s">
        <v>310</v>
      </c>
      <c r="B68" s="34">
        <v>0.99999979999999999</v>
      </c>
      <c r="C68" s="2"/>
      <c r="D68" s="30">
        <f>IFERROR(D9/$B54,0)</f>
        <v>12072.376295894366</v>
      </c>
      <c r="E68" s="30">
        <f>IFERROR(E9/$B54,0)</f>
        <v>195518.84148872821</v>
      </c>
      <c r="F68" s="30">
        <f>IFERROR(F9/$B54,0)</f>
        <v>2.6505459809739906E-2</v>
      </c>
      <c r="G68" s="30">
        <f t="shared" si="64"/>
        <v>2.6505398022716953E-2</v>
      </c>
      <c r="H68" s="30">
        <f t="shared" ref="H68:N68" si="70">IFERROR(H9/$B54,0)</f>
        <v>2.6505459809739906E-2</v>
      </c>
      <c r="I68" s="30">
        <f t="shared" si="70"/>
        <v>0.14675998433385914</v>
      </c>
      <c r="J68" s="30">
        <f t="shared" si="70"/>
        <v>5.1078229841686272E-2</v>
      </c>
      <c r="K68" s="30">
        <f t="shared" si="70"/>
        <v>3.1695692434080609E-2</v>
      </c>
      <c r="L68" s="30">
        <f t="shared" si="70"/>
        <v>0.15156303836660362</v>
      </c>
      <c r="M68" s="30">
        <f t="shared" si="70"/>
        <v>0.14383318230852787</v>
      </c>
      <c r="N68" s="30">
        <f t="shared" si="70"/>
        <v>29.095871239662127</v>
      </c>
      <c r="O68" s="30">
        <f t="shared" si="66"/>
        <v>0.14312565175232109</v>
      </c>
    </row>
    <row r="69" spans="1:15" x14ac:dyDescent="0.25">
      <c r="A69" s="29" t="s">
        <v>311</v>
      </c>
      <c r="B69" s="34">
        <v>1.9999999999999999E-7</v>
      </c>
      <c r="C69" s="2"/>
      <c r="D69" s="30">
        <f>IFERROR(D24/$B55,0)</f>
        <v>0</v>
      </c>
      <c r="E69" s="30">
        <f>IFERROR(E24/$B55,0)</f>
        <v>0</v>
      </c>
      <c r="F69" s="30">
        <f>IFERROR(F24/$B55,0)</f>
        <v>287447084.24033725</v>
      </c>
      <c r="G69" s="30">
        <f t="shared" si="64"/>
        <v>287447084.24033725</v>
      </c>
      <c r="H69" s="30">
        <f t="shared" ref="H69:N69" si="71">IFERROR(H24/$B55,0)</f>
        <v>287447084.24033725</v>
      </c>
      <c r="I69" s="30">
        <f t="shared" si="71"/>
        <v>1396777051.435955</v>
      </c>
      <c r="J69" s="30">
        <f t="shared" si="71"/>
        <v>496188419.22439152</v>
      </c>
      <c r="K69" s="30">
        <f t="shared" si="71"/>
        <v>320614055.49883765</v>
      </c>
      <c r="L69" s="30">
        <f t="shared" si="71"/>
        <v>1429839698.6226034</v>
      </c>
      <c r="M69" s="30">
        <f t="shared" si="71"/>
        <v>0</v>
      </c>
      <c r="N69" s="30">
        <f t="shared" si="71"/>
        <v>305346719522.70251</v>
      </c>
      <c r="O69" s="30">
        <f t="shared" si="66"/>
        <v>305346719522.70251</v>
      </c>
    </row>
    <row r="70" spans="1:15" x14ac:dyDescent="0.25">
      <c r="A70" s="29" t="s">
        <v>312</v>
      </c>
      <c r="B70" s="34">
        <v>0.99979000004200003</v>
      </c>
      <c r="C70" s="2"/>
      <c r="D70" s="30">
        <f>IFERROR(D20/$B56,0)</f>
        <v>0</v>
      </c>
      <c r="E70" s="30">
        <f>IFERROR(E20/$B56,0)</f>
        <v>0</v>
      </c>
      <c r="F70" s="30">
        <f>IFERROR(F20/$B56,0)</f>
        <v>505.31614321550524</v>
      </c>
      <c r="G70" s="30">
        <f t="shared" si="64"/>
        <v>505.31614321550524</v>
      </c>
      <c r="H70" s="30">
        <f t="shared" ref="H70:N70" si="72">IFERROR(H20/$B56,0)</f>
        <v>505.31614321550524</v>
      </c>
      <c r="I70" s="30">
        <f t="shared" si="72"/>
        <v>2554.4474151519103</v>
      </c>
      <c r="J70" s="30">
        <f t="shared" si="72"/>
        <v>906.27351772346037</v>
      </c>
      <c r="K70" s="30">
        <f t="shared" si="72"/>
        <v>577.00459259901982</v>
      </c>
      <c r="L70" s="30">
        <f t="shared" si="72"/>
        <v>2621.9233846087532</v>
      </c>
      <c r="M70" s="30">
        <f t="shared" si="72"/>
        <v>0</v>
      </c>
      <c r="N70" s="30">
        <f t="shared" si="72"/>
        <v>544948.78189907421</v>
      </c>
      <c r="O70" s="30">
        <f t="shared" si="66"/>
        <v>544948.78189907421</v>
      </c>
    </row>
    <row r="71" spans="1:15" x14ac:dyDescent="0.25">
      <c r="A71" s="29" t="s">
        <v>313</v>
      </c>
      <c r="B71" s="34">
        <v>2.0999995799999999E-4</v>
      </c>
      <c r="C71" s="2"/>
      <c r="D71" s="30">
        <f>IFERROR(D29/$B57,0)</f>
        <v>0</v>
      </c>
      <c r="E71" s="30">
        <f>IFERROR(E29/$B57,0)</f>
        <v>0</v>
      </c>
      <c r="F71" s="30">
        <f>IFERROR(F29/$B57,0)</f>
        <v>69.034924307769771</v>
      </c>
      <c r="G71" s="30">
        <f t="shared" si="64"/>
        <v>69.034924307769771</v>
      </c>
      <c r="H71" s="30">
        <f t="shared" ref="H71:N71" si="73">IFERROR(H29/$B57,0)</f>
        <v>69.034924307769771</v>
      </c>
      <c r="I71" s="30">
        <f t="shared" si="73"/>
        <v>373.07407403165053</v>
      </c>
      <c r="J71" s="30">
        <f t="shared" si="73"/>
        <v>130.23320694543185</v>
      </c>
      <c r="K71" s="30">
        <f t="shared" si="73"/>
        <v>81.593178781022843</v>
      </c>
      <c r="L71" s="30">
        <f t="shared" si="73"/>
        <v>385.38914055308368</v>
      </c>
      <c r="M71" s="30">
        <f t="shared" si="73"/>
        <v>0</v>
      </c>
      <c r="N71" s="30">
        <f t="shared" si="73"/>
        <v>74896.380145221934</v>
      </c>
      <c r="O71" s="30">
        <f t="shared" si="66"/>
        <v>74896.380145221934</v>
      </c>
    </row>
    <row r="72" spans="1:15" x14ac:dyDescent="0.25">
      <c r="A72" s="29" t="s">
        <v>314</v>
      </c>
      <c r="B72" s="34">
        <v>1</v>
      </c>
      <c r="C72" s="2"/>
      <c r="D72" s="30">
        <f>IFERROR(D16/$B58,0)</f>
        <v>2.9659288918548175</v>
      </c>
      <c r="E72" s="30">
        <f>IFERROR(E16/$B58,0)</f>
        <v>761.23366643926954</v>
      </c>
      <c r="F72" s="30">
        <f>IFERROR(F16/$B58,0)</f>
        <v>131.27504634598077</v>
      </c>
      <c r="G72" s="30">
        <f t="shared" si="64"/>
        <v>2.889390510464112</v>
      </c>
      <c r="H72" s="30">
        <f t="shared" ref="H72:N72" si="74">IFERROR(H16/$B58,0)</f>
        <v>131.27504634598077</v>
      </c>
      <c r="I72" s="30">
        <f t="shared" si="74"/>
        <v>204.3128785041612</v>
      </c>
      <c r="J72" s="30">
        <f t="shared" si="74"/>
        <v>132.73830323200283</v>
      </c>
      <c r="K72" s="30">
        <f t="shared" si="74"/>
        <v>131.27504634598077</v>
      </c>
      <c r="L72" s="30">
        <f t="shared" si="74"/>
        <v>113.41449582271808</v>
      </c>
      <c r="M72" s="30">
        <f t="shared" si="74"/>
        <v>5.6000056000056009E-4</v>
      </c>
      <c r="N72" s="30">
        <f t="shared" si="74"/>
        <v>49471.605002788005</v>
      </c>
      <c r="O72" s="30">
        <f t="shared" si="66"/>
        <v>5.6000055366155774E-4</v>
      </c>
    </row>
    <row r="73" spans="1:15" x14ac:dyDescent="0.25">
      <c r="A73" s="29" t="s">
        <v>315</v>
      </c>
      <c r="B73" s="34">
        <v>1</v>
      </c>
      <c r="C73" s="2"/>
      <c r="D73" s="30">
        <f>IFERROR(D7/$B59,0)</f>
        <v>475.72324800047568</v>
      </c>
      <c r="E73" s="30">
        <f>IFERROR(E7/$B59,0)</f>
        <v>26550.344951418418</v>
      </c>
      <c r="F73" s="30">
        <f>IFERROR(F7/$B59,0)</f>
        <v>70.345699940673228</v>
      </c>
      <c r="G73" s="30">
        <f t="shared" si="64"/>
        <v>61.142496035272117</v>
      </c>
      <c r="H73" s="30">
        <f t="shared" ref="H73:N73" si="75">IFERROR(H7/$B59,0)</f>
        <v>70.345699940673228</v>
      </c>
      <c r="I73" s="30">
        <f t="shared" si="75"/>
        <v>203.9130489963253</v>
      </c>
      <c r="J73" s="30">
        <f t="shared" si="75"/>
        <v>94.726880033747463</v>
      </c>
      <c r="K73" s="30">
        <f t="shared" si="75"/>
        <v>72.486656025824146</v>
      </c>
      <c r="L73" s="30">
        <f t="shared" si="75"/>
        <v>40.367871394526766</v>
      </c>
      <c r="M73" s="30">
        <f t="shared" si="75"/>
        <v>1.9531726848800019E-2</v>
      </c>
      <c r="N73" s="30">
        <f t="shared" si="75"/>
        <v>36803.37943916017</v>
      </c>
      <c r="O73" s="30">
        <f t="shared" si="66"/>
        <v>1.9531716483226068E-2</v>
      </c>
    </row>
    <row r="74" spans="1:15" x14ac:dyDescent="0.25">
      <c r="A74" s="29" t="s">
        <v>316</v>
      </c>
      <c r="B74" s="36">
        <v>1.9000000000000001E-8</v>
      </c>
      <c r="C74" s="2"/>
      <c r="D74" s="30">
        <f>IFERROR(D12/$B60,0)</f>
        <v>0</v>
      </c>
      <c r="E74" s="30">
        <f>IFERROR(E12/$B60,0)</f>
        <v>0</v>
      </c>
      <c r="F74" s="30">
        <f>IFERROR(F12/$B60,0)</f>
        <v>21194928.662521679</v>
      </c>
      <c r="G74" s="30">
        <f t="shared" si="64"/>
        <v>21194928.662521679</v>
      </c>
      <c r="H74" s="30">
        <f t="shared" ref="H74:N74" si="76">IFERROR(H12/$B60,0)</f>
        <v>21194928.662521679</v>
      </c>
      <c r="I74" s="30">
        <f t="shared" si="76"/>
        <v>93268499.854208946</v>
      </c>
      <c r="J74" s="30">
        <f t="shared" si="76"/>
        <v>33440169.459923688</v>
      </c>
      <c r="K74" s="30">
        <f t="shared" si="76"/>
        <v>22673644.615720864</v>
      </c>
      <c r="L74" s="30">
        <f t="shared" si="76"/>
        <v>91689660.044764623</v>
      </c>
      <c r="M74" s="30">
        <f t="shared" si="76"/>
        <v>0</v>
      </c>
      <c r="N74" s="30">
        <f t="shared" si="76"/>
        <v>20646354038.315239</v>
      </c>
      <c r="O74" s="30">
        <f t="shared" si="66"/>
        <v>20646354038.315239</v>
      </c>
    </row>
    <row r="75" spans="1:15" x14ac:dyDescent="0.25">
      <c r="A75" s="29" t="s">
        <v>317</v>
      </c>
      <c r="B75" s="34">
        <v>1</v>
      </c>
      <c r="C75" s="2"/>
      <c r="D75" s="30">
        <f>IFERROR(D18/$B61,0)</f>
        <v>1.2383517538156712</v>
      </c>
      <c r="E75" s="30">
        <f>IFERROR(E18/$B61,0)</f>
        <v>833.08480332256772</v>
      </c>
      <c r="F75" s="30">
        <f>IFERROR(F18/$B61,0)</f>
        <v>4319.1530792589529</v>
      </c>
      <c r="G75" s="30">
        <f t="shared" si="64"/>
        <v>1.2361598234882729</v>
      </c>
      <c r="H75" s="30">
        <f t="shared" ref="H75:N75" si="77">IFERROR(H18/$B61,0)</f>
        <v>4319.1530792589529</v>
      </c>
      <c r="I75" s="30">
        <f t="shared" si="77"/>
        <v>21753.563264534911</v>
      </c>
      <c r="J75" s="30">
        <f t="shared" si="77"/>
        <v>7661.7329439060477</v>
      </c>
      <c r="K75" s="30">
        <f t="shared" si="77"/>
        <v>4917.9737126665359</v>
      </c>
      <c r="L75" s="30">
        <f t="shared" si="77"/>
        <v>22378.430719381951</v>
      </c>
      <c r="M75" s="30">
        <f t="shared" si="77"/>
        <v>6.128577557148985E-4</v>
      </c>
      <c r="N75" s="30">
        <f t="shared" si="77"/>
        <v>4656963.9346199874</v>
      </c>
      <c r="O75" s="30">
        <f t="shared" si="66"/>
        <v>6.1285775563424622E-4</v>
      </c>
    </row>
    <row r="76" spans="1:15" x14ac:dyDescent="0.25">
      <c r="A76" s="29" t="s">
        <v>318</v>
      </c>
      <c r="B76" s="34">
        <v>1.339E-6</v>
      </c>
      <c r="C76" s="2"/>
      <c r="D76" s="30">
        <f>IFERROR(D27/$B62,0)</f>
        <v>0</v>
      </c>
      <c r="E76" s="30">
        <f>IFERROR(E27/$B62,0)</f>
        <v>0</v>
      </c>
      <c r="F76" s="30">
        <f>IFERROR(F27/$B62,0)</f>
        <v>23806943.176880032</v>
      </c>
      <c r="G76" s="30">
        <f t="shared" si="64"/>
        <v>23806943.176880032</v>
      </c>
      <c r="H76" s="30">
        <f t="shared" ref="H76:N76" si="78">IFERROR(H27/$B62,0)</f>
        <v>23806943.176880032</v>
      </c>
      <c r="I76" s="30">
        <f t="shared" si="78"/>
        <v>70107158.116600558</v>
      </c>
      <c r="J76" s="30">
        <f t="shared" si="78"/>
        <v>32974129.453146864</v>
      </c>
      <c r="K76" s="30">
        <f t="shared" si="78"/>
        <v>24802851.158382986</v>
      </c>
      <c r="L76" s="30">
        <f t="shared" si="78"/>
        <v>16963257.876714244</v>
      </c>
      <c r="M76" s="30">
        <f t="shared" si="78"/>
        <v>0</v>
      </c>
      <c r="N76" s="30">
        <f t="shared" si="78"/>
        <v>15467119604.358084</v>
      </c>
      <c r="O76" s="30">
        <f t="shared" si="66"/>
        <v>15467119604.358086</v>
      </c>
    </row>
  </sheetData>
  <sheetProtection algorithmName="SHA-512" hashValue="2qdpVHsDLgkWiBpREJtflceYAoPGpjW53o0eR4p/LwnnGjmgsSfVX0j4DCCXrDVmOZAKZp3Y9NOw20PhtCR/JQ==" saltValue="njp6U2vgUT+byAa8AamX+g==" spinCount="100000" sheet="1" objects="1" scenarios="1" formatColumns="0" formatRows="0" autoFilter="0"/>
  <autoFilter ref="A1:O76" xr:uid="{00000000-0009-0000-0000-000008000000}"/>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6">
    <tabColor theme="9" tint="-0.499984740745262"/>
  </sheetPr>
  <dimension ref="A1:O76"/>
  <sheetViews>
    <sheetView zoomScale="90" zoomScaleNormal="90" workbookViewId="0">
      <pane xSplit="2" ySplit="1" topLeftCell="C2" activePane="bottomRight" state="frozen"/>
      <selection activeCell="AA1390" sqref="AA1390"/>
      <selection pane="topRight" activeCell="AA1390" sqref="AA1390"/>
      <selection pane="bottomLeft" activeCell="AA1390" sqref="AA1390"/>
      <selection pane="bottomRight" activeCell="C2" sqref="C2"/>
    </sheetView>
  </sheetViews>
  <sheetFormatPr defaultColWidth="9.140625" defaultRowHeight="15" x14ac:dyDescent="0.25"/>
  <cols>
    <col min="1" max="1" width="15.42578125" style="3" customWidth="1"/>
    <col min="2" max="2" width="13.28515625" style="3" bestFit="1" customWidth="1"/>
    <col min="3" max="3" width="13.28515625" style="3" customWidth="1"/>
    <col min="4" max="4" width="14.42578125" style="2" bestFit="1" customWidth="1"/>
    <col min="5" max="5" width="14.5703125" style="2" bestFit="1" customWidth="1"/>
    <col min="6" max="6" width="14.28515625" style="2" bestFit="1" customWidth="1"/>
    <col min="7" max="7" width="14.140625" style="2" bestFit="1" customWidth="1"/>
    <col min="8" max="8" width="13.5703125" style="2" bestFit="1" customWidth="1"/>
    <col min="9" max="10" width="15.42578125" style="2" bestFit="1" customWidth="1"/>
    <col min="11" max="11" width="16.42578125" style="2" bestFit="1" customWidth="1"/>
    <col min="12" max="13" width="13.85546875" style="2" bestFit="1" customWidth="1"/>
    <col min="14" max="14" width="14.140625" style="2" bestFit="1" customWidth="1"/>
    <col min="15" max="15" width="13.28515625" style="2" bestFit="1" customWidth="1"/>
    <col min="16" max="20" width="8.5703125" style="2" bestFit="1" customWidth="1"/>
    <col min="21" max="23" width="9.140625" style="2"/>
    <col min="24" max="26" width="8.5703125" style="2" bestFit="1" customWidth="1"/>
    <col min="27" max="16384" width="9.140625" style="2"/>
  </cols>
  <sheetData>
    <row r="1" spans="1:15" x14ac:dyDescent="0.25">
      <c r="A1" s="21" t="s">
        <v>51</v>
      </c>
      <c r="B1" s="21" t="s">
        <v>274</v>
      </c>
      <c r="C1" s="108"/>
      <c r="D1" s="22" t="s">
        <v>341</v>
      </c>
      <c r="E1" s="22" t="s">
        <v>342</v>
      </c>
      <c r="F1" s="22" t="s">
        <v>343</v>
      </c>
      <c r="G1" s="22" t="s">
        <v>344</v>
      </c>
      <c r="H1" s="22" t="s">
        <v>345</v>
      </c>
      <c r="I1" s="22" t="s">
        <v>346</v>
      </c>
      <c r="J1" s="22" t="s">
        <v>347</v>
      </c>
      <c r="K1" s="22" t="s">
        <v>348</v>
      </c>
      <c r="L1" s="22" t="s">
        <v>349</v>
      </c>
      <c r="M1" s="22" t="s">
        <v>350</v>
      </c>
      <c r="N1" s="22" t="s">
        <v>351</v>
      </c>
      <c r="O1" s="22" t="s">
        <v>352</v>
      </c>
    </row>
    <row r="2" spans="1:15" x14ac:dyDescent="0.25">
      <c r="A2" s="23" t="s">
        <v>12</v>
      </c>
      <c r="B2" s="24" t="s">
        <v>289</v>
      </c>
      <c r="C2" s="2"/>
      <c r="D2" s="22">
        <f>IFERROR((TR/(RadSpec!I2*EF_w*ED_com*IRS_w*(1/1000)))*1,".")</f>
        <v>17.722640673460344</v>
      </c>
      <c r="E2" s="22">
        <f>IFERROR(IF(A2="H-3",(TR/(RadSpec!G2*EF_w*ED_com*(ET_w_o+ET_w_i)*(1/24)*IRA_w*(1/17)*1000))*1,(TR/(RadSpec!G2*EF_w*ED_com*(ET_w_o+ET_w_i)*(1/24)*IRA_w*(1/PEF_wind)*1000))*1),".")</f>
        <v>380.71543861684188</v>
      </c>
      <c r="F2" s="22">
        <f>IFERROR((TR/(RadSpec!F2*EF_w*(1/365)*ED_com*RadSpec!Q2*(ET_w_o+ET_w_i)*(1/24)*RadSpec!V2))*1,".")</f>
        <v>4.2506339369250989</v>
      </c>
      <c r="G2" s="22">
        <f t="shared" ref="G2" si="0">(IF(AND(ISNUMBER(D2),ISNUMBER(E2),ISNUMBER(F2)),1/((1/D2)+(1/E2)+(1/F2)),IF(AND(ISNUMBER(D2),ISNUMBER(E2),NOT(ISNUMBER(F2))), 1/((1/D2)+(1/E2)),IF(AND(ISNUMBER(D2),NOT(ISNUMBER(E2)),ISNUMBER(F2)),1/((1/D2)+(1/F2)),IF(AND(NOT(ISNUMBER(D2)),ISNUMBER(E2),ISNUMBER(F2)),1/((1/E2)+(1/F2)),IF(AND(ISNUMBER(D2),NOT(ISNUMBER(E2)),NOT(ISNUMBER(F2))),1/((1/D2)),IF(AND(NOT(ISNUMBER(D2)),NOT(ISNUMBER(E2)),ISNUMBER(F2)),1/((1/F2)),IF(AND(NOT(ISNUMBER(D2)),ISNUMBER(E2),NOT(ISNUMBER(F2))),1/((1/E2)),IF(AND(NOT(ISNUMBER(D2)),NOT(ISNUMBER(E2)),NOT(ISNUMBER(F2))),".")))))))))</f>
        <v>3.3977702368537517</v>
      </c>
      <c r="H2" s="22">
        <f>IFERROR((TR/(RadSpec!F2*EF_w*(1/365)*ED_com*RadSpec!Q2*(ET_w_o+ET_w_i)*(1/24)*RadSpec!V2))*1,".")</f>
        <v>4.2506339369250989</v>
      </c>
      <c r="I2" s="22">
        <f>IFERROR((TR/(RadSpec!M2*EF_w*(1/365)*ED_com*RadSpec!R2*(ET_w_o+ET_w_i)*(1/24)*RadSpec!W2))*1,".")</f>
        <v>15.174694374338191</v>
      </c>
      <c r="J2" s="22">
        <f>IFERROR((TR/(RadSpec!N2*EF_w*(1/365)*ED_com*RadSpec!S2*(ET_w_o+ET_w_i)*(1/24)*RadSpec!W2))*1,".")</f>
        <v>5.8612257020881255</v>
      </c>
      <c r="K2" s="22">
        <f>IFERROR((TR/(RadSpec!O2*EF_w*(1/365)*ED_com*RadSpec!T2*(ET_w_o+ET_w_i)*(1/24)*RadSpec!X2))*1,".")</f>
        <v>4.3618423829493027</v>
      </c>
      <c r="L2" s="22">
        <f>IFERROR((TR/(RadSpec!K2*EF_w*(1/365)*ED_com*RadSpec!P2*(ET_w_o+ET_w_i)*(1/24)*RadSpec!U2))*1,".")</f>
        <v>14.567706599364659</v>
      </c>
      <c r="M2" s="22">
        <f>IFERROR(TR/(RadSpec!G2*EF_w*ED_com*(ET_w_o+ET_w_i)*(1/24)*IRA_w),".")</f>
        <v>2.8007281893292258E-4</v>
      </c>
      <c r="N2" s="22">
        <f>IFERROR(TR/(RadSpec!J2*EF_w*(1/365)*ED_com*(ET_w_o+ET_w_i)*(1/24)*GSF_a),".")</f>
        <v>3402.4348746815417</v>
      </c>
      <c r="O2" s="22">
        <f t="shared" ref="O2" si="1">IFERROR(IF(AND(ISNUMBER(M2),ISNUMBER(N2)),1/((1/M2)+(1/N2)),IF(AND(ISNUMBER(M2),NOT(ISNUMBER(N2))),1/((1/M2)),IF(AND(NOT(ISNUMBER(M2)),ISNUMBER(N2)),1/((1/N2)),IF(AND(NOT(ISNUMBER(M2)),NOT(ISNUMBER(N2))),".")))),".")</f>
        <v>2.800727958786158E-4</v>
      </c>
    </row>
    <row r="3" spans="1:15" x14ac:dyDescent="0.25">
      <c r="A3" s="25" t="s">
        <v>13</v>
      </c>
      <c r="B3" s="24" t="s">
        <v>275</v>
      </c>
      <c r="C3" s="2"/>
      <c r="D3" s="22">
        <f>IFERROR((TR/(RadSpec!I3*EF_w*ED_com*IRS_w*(1/1000)))*1,".")</f>
        <v>17.578554163920018</v>
      </c>
      <c r="E3" s="22">
        <f>IFERROR(IF(A3="H-3",(TR/(RadSpec!G3*EF_w*ED_com*(ET_w_o+ET_w_i)*(1/24)*IRA_w*(1/17)*1000))*1,(TR/(RadSpec!G3*EF_w*ED_com*(ET_w_o+ET_w_i)*(1/24)*IRA_w*(1/PEF_wind)*1000))*1),".")</f>
        <v>288.14933197274695</v>
      </c>
      <c r="F3" s="22">
        <f>IFERROR((TR/(RadSpec!F3*EF_w*(1/365)*ED_com*RadSpec!Q3*(ET_w_o+ET_w_i)*(1/24)*RadSpec!V3))*1,".")</f>
        <v>6.3311129946605913</v>
      </c>
      <c r="G3" s="22">
        <f>(IF(AND(ISNUMBER(D3),ISNUMBER(E3),ISNUMBER(F3)),1/((1/D3)+(1/E3)+(1/F3)),IF(AND(ISNUMBER(D3),ISNUMBER(E3),NOT(ISNUMBER(F3))), 1/((1/D3)+(1/E3)),IF(AND(ISNUMBER(D3),NOT(ISNUMBER(E3)),ISNUMBER(F3)),1/((1/D3)+(1/F3)),IF(AND(NOT(ISNUMBER(D3)),ISNUMBER(E3),ISNUMBER(F3)),1/((1/E3)+(1/F3)),IF(AND(ISNUMBER(D3),NOT(ISNUMBER(E3)),NOT(ISNUMBER(F3))),1/((1/D3)),IF(AND(NOT(ISNUMBER(D3)),NOT(ISNUMBER(E3)),ISNUMBER(F3)),1/((1/F3)),IF(AND(NOT(ISNUMBER(D3)),ISNUMBER(E3),NOT(ISNUMBER(F3))),1/((1/E3)),IF(AND(NOT(ISNUMBER(D3)),NOT(ISNUMBER(E3)),NOT(ISNUMBER(F3))),".")))))))))</f>
        <v>4.580683463472206</v>
      </c>
      <c r="H3" s="22">
        <f>IFERROR((TR/(RadSpec!F3*EF_w*(1/365)*ED_com*RadSpec!Q3*(ET_w_o+ET_w_i)*(1/24)*RadSpec!V3))*1,".")</f>
        <v>6.3311129946605913</v>
      </c>
      <c r="I3" s="22">
        <f>IFERROR((TR/(RadSpec!M3*EF_w*(1/365)*ED_com*RadSpec!R3*(ET_w_o+ET_w_i)*(1/24)*RadSpec!W3))*1,".")</f>
        <v>12.73746841879932</v>
      </c>
      <c r="J3" s="22">
        <f>IFERROR((TR/(RadSpec!N3*EF_w*(1/365)*ED_com*RadSpec!S3*(ET_w_o+ET_w_i)*(1/24)*RadSpec!W3))*1,".")</f>
        <v>6.7956240024210128</v>
      </c>
      <c r="K3" s="22">
        <f>IFERROR((TR/(RadSpec!O3*EF_w*(1/365)*ED_com*RadSpec!T3*(ET_w_o+ET_w_i)*(1/24)*RadSpec!X3))*1,".")</f>
        <v>6.3311129946605913</v>
      </c>
      <c r="L3" s="22">
        <f>IFERROR((TR/(RadSpec!K3*EF_w*(1/365)*ED_com*RadSpec!P3*(ET_w_o+ET_w_i)*(1/24)*RadSpec!U3))*1,".")</f>
        <v>9.3779611233410005</v>
      </c>
      <c r="M3" s="22">
        <f>IFERROR(TR/(RadSpec!G3*EF_w*ED_com*(ET_w_o+ET_w_i)*(1/24)*IRA_w),".")</f>
        <v>2.1197668256491784E-4</v>
      </c>
      <c r="N3" s="22">
        <f>IFERROR(TR/(RadSpec!J3*EF_w*(1/365)*ED_com*(ET_w_o+ET_w_i)*(1/24)*GSF_a),".")</f>
        <v>3019.0619310554525</v>
      </c>
      <c r="O3" s="22">
        <f>IFERROR(IF(AND(ISNUMBER(M3),ISNUMBER(N3)),1/((1/M3)+(1/N3)),IF(AND(ISNUMBER(M3),NOT(ISNUMBER(N3))),1/((1/M3)),IF(AND(NOT(ISNUMBER(M3)),ISNUMBER(N3)),1/((1/N3)),IF(AND(NOT(ISNUMBER(M3)),NOT(ISNUMBER(N3))),".")))),".")</f>
        <v>2.1197666768145014E-4</v>
      </c>
    </row>
    <row r="4" spans="1:15" x14ac:dyDescent="0.25">
      <c r="A4" s="23" t="s">
        <v>14</v>
      </c>
      <c r="B4" s="24" t="s">
        <v>289</v>
      </c>
      <c r="C4" s="2"/>
      <c r="D4" s="22" t="str">
        <f>IFERROR((TR/(RadSpec!I4*EF_w*ED_com*IRS_w*(1/1000)))*1,".")</f>
        <v>.</v>
      </c>
      <c r="E4" s="22" t="str">
        <f>IFERROR(IF(A4="H-3",(TR/(RadSpec!G4*EF_w*ED_com*(ET_w_o+ET_w_i)*(1/24)*IRA_w*(1/17)*1000))*1,(TR/(RadSpec!G4*EF_w*ED_com*(ET_w_o+ET_w_i)*(1/24)*IRA_w*(1/PEF_wind)*1000))*1),".")</f>
        <v>.</v>
      </c>
      <c r="F4" s="22">
        <f>IFERROR((TR/(RadSpec!F4*EF_w*(1/365)*ED_com*RadSpec!Q4*(ET_w_o+ET_w_i)*(1/24)*RadSpec!V4))*1,".")</f>
        <v>187.09149373248874</v>
      </c>
      <c r="G4" s="22">
        <f t="shared" ref="G4:G5" si="2">(IF(AND(ISNUMBER(D4),ISNUMBER(E4),ISNUMBER(F4)),1/((1/D4)+(1/E4)+(1/F4)),IF(AND(ISNUMBER(D4),ISNUMBER(E4),NOT(ISNUMBER(F4))), 1/((1/D4)+(1/E4)),IF(AND(ISNUMBER(D4),NOT(ISNUMBER(E4)),ISNUMBER(F4)),1/((1/D4)+(1/F4)),IF(AND(NOT(ISNUMBER(D4)),ISNUMBER(E4),ISNUMBER(F4)),1/((1/E4)+(1/F4)),IF(AND(ISNUMBER(D4),NOT(ISNUMBER(E4)),NOT(ISNUMBER(F4))),1/((1/D4)),IF(AND(NOT(ISNUMBER(D4)),NOT(ISNUMBER(E4)),ISNUMBER(F4)),1/((1/F4)),IF(AND(NOT(ISNUMBER(D4)),ISNUMBER(E4),NOT(ISNUMBER(F4))),1/((1/E4)),IF(AND(NOT(ISNUMBER(D4)),NOT(ISNUMBER(E4)),NOT(ISNUMBER(F4))),".")))))))))</f>
        <v>187.09149373248874</v>
      </c>
      <c r="H4" s="22">
        <f>IFERROR((TR/(RadSpec!F4*EF_w*(1/365)*ED_com*RadSpec!Q4*(ET_w_o+ET_w_i)*(1/24)*RadSpec!V4))*1,".")</f>
        <v>187.09149373248874</v>
      </c>
      <c r="I4" s="22">
        <f>IFERROR((TR/(RadSpec!M4*EF_w*(1/365)*ED_com*RadSpec!R4*(ET_w_o+ET_w_i)*(1/24)*RadSpec!W4))*1,".")</f>
        <v>808.44492442594833</v>
      </c>
      <c r="J4" s="22">
        <f>IFERROR((TR/(RadSpec!N4*EF_w*(1/365)*ED_com*RadSpec!S4*(ET_w_o+ET_w_i)*(1/24)*RadSpec!W4))*1,".")</f>
        <v>293.06128510440624</v>
      </c>
      <c r="K4" s="22">
        <f>IFERROR((TR/(RadSpec!O4*EF_w*(1/365)*ED_com*RadSpec!T4*(ET_w_o+ET_w_i)*(1/24)*RadSpec!X4))*1,".")</f>
        <v>199.53108773065958</v>
      </c>
      <c r="L4" s="22">
        <f>IFERROR((TR/(RadSpec!K4*EF_w*(1/365)*ED_com*RadSpec!P4*(ET_w_o+ET_w_i)*(1/24)*RadSpec!U4))*1,".")</f>
        <v>824.43614271129672</v>
      </c>
      <c r="M4" s="22" t="str">
        <f>IFERROR(TR/(RadSpec!G4*EF_w*ED_com*(ET_w_o+ET_w_i)*(1/24)*IRA_w),".")</f>
        <v>.</v>
      </c>
      <c r="N4" s="22">
        <f>IFERROR(TR/(RadSpec!J4*EF_w*(1/365)*ED_com*(ET_w_o+ET_w_i)*(1/24)*GSF_a),".")</f>
        <v>179482.50953762681</v>
      </c>
      <c r="O4" s="22">
        <f t="shared" ref="O4:O5" si="3">IFERROR(IF(AND(ISNUMBER(M4),ISNUMBER(N4)),1/((1/M4)+(1/N4)),IF(AND(ISNUMBER(M4),NOT(ISNUMBER(N4))),1/((1/M4)),IF(AND(NOT(ISNUMBER(M4)),ISNUMBER(N4)),1/((1/N4)),IF(AND(NOT(ISNUMBER(M4)),NOT(ISNUMBER(N4))),".")))),".")</f>
        <v>179482.50953762681</v>
      </c>
    </row>
    <row r="5" spans="1:15" x14ac:dyDescent="0.25">
      <c r="A5" s="23" t="s">
        <v>15</v>
      </c>
      <c r="B5" s="24" t="s">
        <v>289</v>
      </c>
      <c r="C5" s="109"/>
      <c r="D5" s="22" t="str">
        <f>IFERROR((TR/(RadSpec!I5*EF_w*ED_com*IRS_w*(1/1000)))*1,".")</f>
        <v>.</v>
      </c>
      <c r="E5" s="22" t="str">
        <f>IFERROR(IF(A5="H-3",(TR/(RadSpec!G5*EF_w*ED_com*(ET_w_o+ET_w_i)*(1/24)*IRA_w*(1/17)*1000))*1,(TR/(RadSpec!G5*EF_w*ED_com*(ET_w_o+ET_w_i)*(1/24)*IRA_w*(1/PEF_wind)*1000))*1),".")</f>
        <v>.</v>
      </c>
      <c r="F5" s="22">
        <f>IFERROR((TR/(RadSpec!F5*EF_w*(1/365)*ED_com*RadSpec!Q5*(ET_w_o+ET_w_i)*(1/24)*RadSpec!V5))*1,".")</f>
        <v>7094.4386748678953</v>
      </c>
      <c r="G5" s="22">
        <f t="shared" si="2"/>
        <v>7094.4386748678944</v>
      </c>
      <c r="H5" s="22">
        <f>IFERROR((TR/(RadSpec!F5*EF_w*(1/365)*ED_com*RadSpec!Q5*(ET_w_o+ET_w_i)*(1/24)*RadSpec!V5))*1,".")</f>
        <v>7094.4386748678953</v>
      </c>
      <c r="I5" s="22">
        <f>IFERROR((TR/(RadSpec!M5*EF_w*(1/365)*ED_com*RadSpec!R5*(ET_w_o+ET_w_i)*(1/24)*RadSpec!W5))*1,".")</f>
        <v>23207.030743234347</v>
      </c>
      <c r="J5" s="22">
        <f>IFERROR((TR/(RadSpec!N5*EF_w*(1/365)*ED_com*RadSpec!S5*(ET_w_o+ET_w_i)*(1/24)*RadSpec!W5))*1,".")</f>
        <v>10558.537609841391</v>
      </c>
      <c r="K5" s="22">
        <f>IFERROR((TR/(RadSpec!O5*EF_w*(1/365)*ED_com*RadSpec!T5*(ET_w_o+ET_w_i)*(1/24)*RadSpec!X5))*1,".")</f>
        <v>7612.7538291961419</v>
      </c>
      <c r="L5" s="22">
        <f>IFERROR((TR/(RadSpec!K5*EF_w*(1/365)*ED_com*RadSpec!P5*(ET_w_o+ET_w_i)*(1/24)*RadSpec!U5))*1,".")</f>
        <v>9749.6671847599737</v>
      </c>
      <c r="M5" s="22" t="str">
        <f>IFERROR(TR/(RadSpec!G5*EF_w*ED_com*(ET_w_o+ET_w_i)*(1/24)*IRA_w),".")</f>
        <v>.</v>
      </c>
      <c r="N5" s="22">
        <f>IFERROR(TR/(RadSpec!J5*EF_w*(1/365)*ED_com*(ET_w_o+ET_w_i)*(1/24)*GSF_a),".")</f>
        <v>5683612.8020248478</v>
      </c>
      <c r="O5" s="22">
        <f t="shared" si="3"/>
        <v>5683612.8020248478</v>
      </c>
    </row>
    <row r="6" spans="1:15" x14ac:dyDescent="0.25">
      <c r="A6" s="23" t="s">
        <v>16</v>
      </c>
      <c r="B6" s="24" t="s">
        <v>289</v>
      </c>
      <c r="C6" s="2"/>
      <c r="D6" s="22" t="str">
        <f>IFERROR((TR/(RadSpec!I6*EF_w*ED_com*IRS_w*(1/1000)))*1,".")</f>
        <v>.</v>
      </c>
      <c r="E6" s="22" t="str">
        <f>IFERROR(IF(A6="H-3",(TR/(RadSpec!G6*EF_w*ED_com*(ET_w_o+ET_w_i)*(1/24)*IRA_w*(1/17)*1000))*1,(TR/(RadSpec!G6*EF_w*ED_com*(ET_w_o+ET_w_i)*(1/24)*IRA_w*(1/PEF_wind)*1000))*1),".")</f>
        <v>.</v>
      </c>
      <c r="F6" s="22">
        <f>IFERROR((TR/(RadSpec!F6*EF_w*(1/365)*ED_com*RadSpec!Q6*(ET_w_o+ET_w_i)*(1/24)*RadSpec!V6))*1,".")</f>
        <v>6.5237990423241743E-2</v>
      </c>
      <c r="G6" s="22">
        <f t="shared" ref="G6:G9" si="4">(IF(AND(ISNUMBER(D6),ISNUMBER(E6),ISNUMBER(F6)),1/((1/D6)+(1/E6)+(1/F6)),IF(AND(ISNUMBER(D6),ISNUMBER(E6),NOT(ISNUMBER(F6))), 1/((1/D6)+(1/E6)),IF(AND(ISNUMBER(D6),NOT(ISNUMBER(E6)),ISNUMBER(F6)),1/((1/D6)+(1/F6)),IF(AND(NOT(ISNUMBER(D6)),ISNUMBER(E6),ISNUMBER(F6)),1/((1/E6)+(1/F6)),IF(AND(ISNUMBER(D6),NOT(ISNUMBER(E6)),NOT(ISNUMBER(F6))),1/((1/D6)),IF(AND(NOT(ISNUMBER(D6)),NOT(ISNUMBER(E6)),ISNUMBER(F6)),1/((1/F6)),IF(AND(NOT(ISNUMBER(D6)),ISNUMBER(E6),NOT(ISNUMBER(F6))),1/((1/E6)),IF(AND(NOT(ISNUMBER(D6)),NOT(ISNUMBER(E6)),NOT(ISNUMBER(F6))),".")))))))))</f>
        <v>6.5237990423241743E-2</v>
      </c>
      <c r="H6" s="22">
        <f>IFERROR((TR/(RadSpec!F6*EF_w*(1/365)*ED_com*RadSpec!Q6*(ET_w_o+ET_w_i)*(1/24)*RadSpec!V6))*1,".")</f>
        <v>6.5237990423241743E-2</v>
      </c>
      <c r="I6" s="22">
        <f>IFERROR((TR/(RadSpec!M6*EF_w*(1/365)*ED_com*RadSpec!R6*(ET_w_o+ET_w_i)*(1/24)*RadSpec!W6))*1,".")</f>
        <v>0.3200669325372355</v>
      </c>
      <c r="J6" s="22">
        <f>IFERROR((TR/(RadSpec!N6*EF_w*(1/365)*ED_com*RadSpec!S6*(ET_w_o+ET_w_i)*(1/24)*RadSpec!W6))*1,".")</f>
        <v>0.1135002859103298</v>
      </c>
      <c r="K6" s="22">
        <f>IFERROR((TR/(RadSpec!O6*EF_w*(1/365)*ED_com*RadSpec!T6*(ET_w_o+ET_w_i)*(1/24)*RadSpec!X6))*1,".")</f>
        <v>7.3193842913880966E-2</v>
      </c>
      <c r="L6" s="22">
        <f>IFERROR((TR/(RadSpec!K6*EF_w*(1/365)*ED_com*RadSpec!P6*(ET_w_o+ET_w_i)*(1/24)*RadSpec!U6))*1,".")</f>
        <v>0.32690060560665796</v>
      </c>
      <c r="M6" s="22" t="str">
        <f>IFERROR(TR/(RadSpec!G6*EF_w*ED_com*(ET_w_o+ET_w_i)*(1/24)*IRA_w),".")</f>
        <v>.</v>
      </c>
      <c r="N6" s="22">
        <f>IFERROR(TR/(RadSpec!J6*EF_w*(1/365)*ED_com*(ET_w_o+ET_w_i)*(1/24)*GSF_a),".")</f>
        <v>69.466378691414818</v>
      </c>
      <c r="O6" s="22">
        <f t="shared" ref="O6:O9" si="5">IFERROR(IF(AND(ISNUMBER(M6),ISNUMBER(N6)),1/((1/M6)+(1/N6)),IF(AND(ISNUMBER(M6),NOT(ISNUMBER(N6))),1/((1/M6)),IF(AND(NOT(ISNUMBER(M6)),ISNUMBER(N6)),1/((1/N6)),IF(AND(NOT(ISNUMBER(M6)),NOT(ISNUMBER(N6))),".")))),".")</f>
        <v>69.466378691414818</v>
      </c>
    </row>
    <row r="7" spans="1:15" x14ac:dyDescent="0.25">
      <c r="A7" s="23" t="s">
        <v>17</v>
      </c>
      <c r="B7" s="24" t="s">
        <v>289</v>
      </c>
      <c r="C7" s="109"/>
      <c r="D7" s="22">
        <f>IFERROR((TR/(RadSpec!I7*EF_w*ED_com*IRS_w*(1/1000)))*1,".")</f>
        <v>428.15092320042817</v>
      </c>
      <c r="E7" s="22">
        <f>IFERROR(IF(A7="H-3",(TR/(RadSpec!G7*EF_w*ED_com*(ET_w_o+ET_w_i)*(1/24)*IRA_w*(1/17)*1000))*1,(TR/(RadSpec!G7*EF_w*ED_com*(ET_w_o+ET_w_i)*(1/24)*IRA_w*(1/PEF_wind)*1000))*1),".")</f>
        <v>23895.31045627658</v>
      </c>
      <c r="F7" s="22">
        <f>IFERROR((TR/(RadSpec!F7*EF_w*(1/365)*ED_com*RadSpec!Q7*(ET_w_o+ET_w_i)*(1/24)*RadSpec!V7))*1,".")</f>
        <v>63.311129946605895</v>
      </c>
      <c r="G7" s="22">
        <f t="shared" si="4"/>
        <v>55.02824643174489</v>
      </c>
      <c r="H7" s="22">
        <f>IFERROR((TR/(RadSpec!F7*EF_w*(1/365)*ED_com*RadSpec!Q7*(ET_w_o+ET_w_i)*(1/24)*RadSpec!V7))*1,".")</f>
        <v>63.311129946605895</v>
      </c>
      <c r="I7" s="22">
        <f>IFERROR((TR/(RadSpec!M7*EF_w*(1/365)*ED_com*RadSpec!R7*(ET_w_o+ET_w_i)*(1/24)*RadSpec!W7))*1,".")</f>
        <v>183.5217440966928</v>
      </c>
      <c r="J7" s="22">
        <f>IFERROR((TR/(RadSpec!N7*EF_w*(1/365)*ED_com*RadSpec!S7*(ET_w_o+ET_w_i)*(1/24)*RadSpec!W7))*1,".")</f>
        <v>85.254192030372721</v>
      </c>
      <c r="K7" s="22">
        <f>IFERROR((TR/(RadSpec!O7*EF_w*(1/365)*ED_com*RadSpec!T7*(ET_w_o+ET_w_i)*(1/24)*RadSpec!X7))*1,".")</f>
        <v>65.237990423241754</v>
      </c>
      <c r="L7" s="22">
        <f>IFERROR((TR/(RadSpec!K7*EF_w*(1/365)*ED_com*RadSpec!P7*(ET_w_o+ET_w_i)*(1/24)*RadSpec!U7))*1,".")</f>
        <v>36.331084255074089</v>
      </c>
      <c r="M7" s="22">
        <f>IFERROR(TR/(RadSpec!G7*EF_w*ED_com*(ET_w_o+ET_w_i)*(1/24)*IRA_w),".")</f>
        <v>1.757855416392002E-2</v>
      </c>
      <c r="N7" s="22">
        <f>IFERROR(TR/(RadSpec!J7*EF_w*(1/365)*ED_com*(ET_w_o+ET_w_i)*(1/24)*GSF_a),".")</f>
        <v>33123.04149524415</v>
      </c>
      <c r="O7" s="22">
        <f t="shared" si="5"/>
        <v>1.7578544834903464E-2</v>
      </c>
    </row>
    <row r="8" spans="1:15" x14ac:dyDescent="0.25">
      <c r="A8" s="23" t="s">
        <v>18</v>
      </c>
      <c r="B8" s="24" t="s">
        <v>289</v>
      </c>
      <c r="C8" s="2"/>
      <c r="D8" s="22">
        <f>IFERROR((TR/(RadSpec!I8*EF_w*ED_com*IRS_w*(1/1000)))*1,".")</f>
        <v>5045.8860260493857</v>
      </c>
      <c r="E8" s="22">
        <f>IFERROR(IF(A8="H-3",(TR/(RadSpec!G8*EF_w*ED_com*(ET_w_o+ET_w_i)*(1/24)*IRA_w*(1/17)*1000))*1,(TR/(RadSpec!G8*EF_w*ED_com*(ET_w_o+ET_w_i)*(1/24)*IRA_w*(1/PEF_wind)*1000))*1),".")</f>
        <v>146956.15930610095</v>
      </c>
      <c r="F8" s="22">
        <f>IFERROR((TR/(RadSpec!F8*EF_w*(1/365)*ED_com*RadSpec!Q8*(ET_w_o+ET_w_i)*(1/24)*RadSpec!V8))*1,".")</f>
        <v>0.32268253327624941</v>
      </c>
      <c r="G8" s="22">
        <f t="shared" si="4"/>
        <v>0.32266119072210159</v>
      </c>
      <c r="H8" s="22">
        <f>IFERROR((TR/(RadSpec!F8*EF_w*(1/365)*ED_com*RadSpec!Q8*(ET_w_o+ET_w_i)*(1/24)*RadSpec!V8))*1,".")</f>
        <v>0.32268253327624941</v>
      </c>
      <c r="I8" s="22">
        <f>IFERROR((TR/(RadSpec!M8*EF_w*(1/365)*ED_com*RadSpec!R8*(ET_w_o+ET_w_i)*(1/24)*RadSpec!W8))*1,".")</f>
        <v>1.4885652576731745</v>
      </c>
      <c r="J8" s="22">
        <f>IFERROR((TR/(RadSpec!N8*EF_w*(1/365)*ED_com*RadSpec!S8*(ET_w_o+ET_w_i)*(1/24)*RadSpec!W8))*1,".")</f>
        <v>0.53283870018982959</v>
      </c>
      <c r="K8" s="22">
        <f>IFERROR((TR/(RadSpec!O8*EF_w*(1/365)*ED_com*RadSpec!T8*(ET_w_o+ET_w_i)*(1/24)*RadSpec!X8))*1,".")</f>
        <v>0.35222389195646941</v>
      </c>
      <c r="L8" s="22">
        <f>IFERROR((TR/(RadSpec!K8*EF_w*(1/365)*ED_com*RadSpec!P8*(ET_w_o+ET_w_i)*(1/24)*RadSpec!U8))*1,".")</f>
        <v>1.456770659936466</v>
      </c>
      <c r="M8" s="22">
        <f>IFERROR(TR/(RadSpec!G8*EF_w*ED_com*(ET_w_o+ET_w_i)*(1/24)*IRA_w),".")</f>
        <v>0.10810810810810811</v>
      </c>
      <c r="N8" s="22">
        <f>IFERROR(TR/(RadSpec!J8*EF_w*(1/365)*ED_com*(ET_w_o+ET_w_i)*(1/24)*GSF_a),".")</f>
        <v>329.05126748564919</v>
      </c>
      <c r="O8" s="22">
        <f t="shared" si="5"/>
        <v>0.10807260140860234</v>
      </c>
    </row>
    <row r="9" spans="1:15" x14ac:dyDescent="0.25">
      <c r="A9" s="23" t="s">
        <v>19</v>
      </c>
      <c r="B9" s="24" t="s">
        <v>289</v>
      </c>
      <c r="C9" s="109"/>
      <c r="D9" s="22">
        <f>IFERROR((TR/(RadSpec!I9*EF_w*ED_com*IRS_w*(1/1000)))*1,".")</f>
        <v>10865.136493277198</v>
      </c>
      <c r="E9" s="22">
        <f>IFERROR(IF(A9="H-3",(TR/(RadSpec!G9*EF_w*ED_com*(ET_w_o+ET_w_i)*(1/24)*IRA_w*(1/17)*1000))*1,(TR/(RadSpec!G9*EF_w*ED_com*(ET_w_o+ET_w_i)*(1/24)*IRA_w*(1/PEF_wind)*1000))*1),".")</f>
        <v>175966.92214646391</v>
      </c>
      <c r="F9" s="22">
        <f>IFERROR((TR/(RadSpec!F9*EF_w*(1/365)*ED_com*RadSpec!Q9*(ET_w_o+ET_w_i)*(1/24)*RadSpec!V9))*1,".")</f>
        <v>2.3854909057783143E-2</v>
      </c>
      <c r="G9" s="22">
        <f t="shared" si="4"/>
        <v>2.385485344947361E-2</v>
      </c>
      <c r="H9" s="22">
        <f>IFERROR((TR/(RadSpec!F9*EF_w*(1/365)*ED_com*RadSpec!Q9*(ET_w_o+ET_w_i)*(1/24)*RadSpec!V9))*1,".")</f>
        <v>2.3854909057783143E-2</v>
      </c>
      <c r="I9" s="22">
        <f>IFERROR((TR/(RadSpec!M9*EF_w*(1/365)*ED_com*RadSpec!R9*(ET_w_o+ET_w_i)*(1/24)*RadSpec!W9))*1,".")</f>
        <v>0.13208395948367604</v>
      </c>
      <c r="J9" s="22">
        <f>IFERROR((TR/(RadSpec!N9*EF_w*(1/365)*ED_com*RadSpec!S9*(ET_w_o+ET_w_i)*(1/24)*RadSpec!W9))*1,".")</f>
        <v>4.5970397663436274E-2</v>
      </c>
      <c r="K9" s="22">
        <f>IFERROR((TR/(RadSpec!O9*EF_w*(1/365)*ED_com*RadSpec!T9*(ET_w_o+ET_w_i)*(1/24)*RadSpec!X9))*1,".")</f>
        <v>2.8526117485447911E-2</v>
      </c>
      <c r="L9" s="22">
        <f>IFERROR((TR/(RadSpec!K9*EF_w*(1/365)*ED_com*RadSpec!P9*(ET_w_o+ET_w_i)*(1/24)*RadSpec!U9))*1,".")</f>
        <v>0.13640670724859635</v>
      </c>
      <c r="M9" s="22">
        <f>IFERROR(TR/(RadSpec!G9*EF_w*ED_com*(ET_w_o+ET_w_i)*(1/24)*IRA_w),".")</f>
        <v>0.12944983818770225</v>
      </c>
      <c r="N9" s="22">
        <f>IFERROR(TR/(RadSpec!J9*EF_w*(1/365)*ED_com*(ET_w_o+ET_w_i)*(1/24)*GSF_a),".")</f>
        <v>26.186278878439094</v>
      </c>
      <c r="O9" s="22">
        <f t="shared" si="5"/>
        <v>0.12881306081447169</v>
      </c>
    </row>
    <row r="10" spans="1:15" x14ac:dyDescent="0.25">
      <c r="A10" s="25" t="s">
        <v>20</v>
      </c>
      <c r="B10" s="24" t="s">
        <v>275</v>
      </c>
      <c r="C10" s="2"/>
      <c r="D10" s="22">
        <f>IFERROR((TR/(RadSpec!I10*EF_w*ED_com*IRS_w*(1/1000)))*1,".")</f>
        <v>50.341377465940901</v>
      </c>
      <c r="E10" s="22">
        <f>IFERROR(IF(A10="H-3",(TR/(RadSpec!G10*EF_w*ED_com*(ET_w_o+ET_w_i)*(1/24)*IRA_w*(1/17)*1000))*1,(TR/(RadSpec!G10*EF_w*ED_com*(ET_w_o+ET_w_i)*(1/24)*IRA_w*(1/PEF_wind)*1000))*1),".")</f>
        <v>96681.683754013779</v>
      </c>
      <c r="F10" s="22">
        <f>IFERROR((TR/(RadSpec!F10*EF_w*(1/365)*ED_com*RadSpec!Q10*(ET_w_o+ET_w_i)*(1/24)*RadSpec!V10))*1,".")</f>
        <v>317.2249005781311</v>
      </c>
      <c r="G10" s="22">
        <f t="shared" ref="G10" si="6">(IF(AND(ISNUMBER(D10),ISNUMBER(E10),ISNUMBER(F10)),1/((1/D10)+(1/E10)+(1/F10)),IF(AND(ISNUMBER(D10),ISNUMBER(E10),NOT(ISNUMBER(F10))), 1/((1/D10)+(1/E10)),IF(AND(ISNUMBER(D10),NOT(ISNUMBER(E10)),ISNUMBER(F10)),1/((1/D10)+(1/F10)),IF(AND(NOT(ISNUMBER(D10)),ISNUMBER(E10),ISNUMBER(F10)),1/((1/E10)+(1/F10)),IF(AND(ISNUMBER(D10),NOT(ISNUMBER(E10)),NOT(ISNUMBER(F10))),1/((1/D10)),IF(AND(NOT(ISNUMBER(D10)),NOT(ISNUMBER(E10)),ISNUMBER(F10)),1/((1/F10)),IF(AND(NOT(ISNUMBER(D10)),ISNUMBER(E10),NOT(ISNUMBER(F10))),1/((1/E10)),IF(AND(NOT(ISNUMBER(D10)),NOT(ISNUMBER(E10)),NOT(ISNUMBER(F10))),".")))))))))</f>
        <v>43.427175635681373</v>
      </c>
      <c r="H10" s="22">
        <f>IFERROR((TR/(RadSpec!F10*EF_w*(1/365)*ED_com*RadSpec!Q10*(ET_w_o+ET_w_i)*(1/24)*RadSpec!V10))*1,".")</f>
        <v>317.2249005781311</v>
      </c>
      <c r="I10" s="22">
        <f>IFERROR((TR/(RadSpec!M10*EF_w*(1/365)*ED_com*RadSpec!R10*(ET_w_o+ET_w_i)*(1/24)*RadSpec!W10))*1,".")</f>
        <v>910.48166246029132</v>
      </c>
      <c r="J10" s="22">
        <f>IFERROR((TR/(RadSpec!N10*EF_w*(1/365)*ED_com*RadSpec!S10*(ET_w_o+ET_w_i)*(1/24)*RadSpec!W10))*1,".")</f>
        <v>413.12604067581498</v>
      </c>
      <c r="K10" s="22">
        <f>IFERROR((TR/(RadSpec!O10*EF_w*(1/365)*ED_com*RadSpec!T10*(ET_w_o+ET_w_i)*(1/24)*RadSpec!X10))*1,".")</f>
        <v>323.37796977037937</v>
      </c>
      <c r="L10" s="22">
        <f>IFERROR((TR/(RadSpec!K10*EF_w*(1/365)*ED_com*RadSpec!P10*(ET_w_o+ET_w_i)*(1/24)*RadSpec!U10))*1,".")</f>
        <v>316.55564973302955</v>
      </c>
      <c r="M10" s="22">
        <f>IFERROR(TR/(RadSpec!G10*EF_w*ED_com*(ET_w_o+ET_w_i)*(1/24)*IRA_w),".")</f>
        <v>7.1123755334281655E-2</v>
      </c>
      <c r="N10" s="22">
        <f>IFERROR(TR/(RadSpec!J10*EF_w*(1/365)*ED_com*(ET_w_o+ET_w_i)*(1/24)*GSF_a),".")</f>
        <v>107947.75393773813</v>
      </c>
      <c r="O10" s="22">
        <f t="shared" ref="O10" si="7">IFERROR(IF(AND(ISNUMBER(M10),ISNUMBER(N10)),1/((1/M10)+(1/N10)),IF(AND(ISNUMBER(M10),NOT(ISNUMBER(N10))),1/((1/M10)),IF(AND(NOT(ISNUMBER(M10)),ISNUMBER(N10)),1/((1/N10)),IF(AND(NOT(ISNUMBER(M10)),NOT(ISNUMBER(N10))),".")))),".")</f>
        <v>7.1123708472859759E-2</v>
      </c>
    </row>
    <row r="11" spans="1:15" x14ac:dyDescent="0.25">
      <c r="A11" s="23" t="s">
        <v>21</v>
      </c>
      <c r="B11" s="24" t="s">
        <v>289</v>
      </c>
      <c r="C11" s="2"/>
      <c r="D11" s="22" t="str">
        <f>IFERROR((TR/(RadSpec!I11*EF_w*ED_com*IRS_w*(1/1000)))*1,".")</f>
        <v>.</v>
      </c>
      <c r="E11" s="22" t="str">
        <f>IFERROR(IF(A11="H-3",(TR/(RadSpec!G11*EF_w*ED_com*(ET_w_o+ET_w_i)*(1/24)*IRA_w*(1/17)*1000))*1,(TR/(RadSpec!G11*EF_w*ED_com*(ET_w_o+ET_w_i)*(1/24)*IRA_w*(1/PEF_wind)*1000))*1),".")</f>
        <v>.</v>
      </c>
      <c r="F11" s="22">
        <f>IFERROR((TR/(RadSpec!F11*EF_w*(1/365)*ED_com*RadSpec!Q11*(ET_w_o+ET_w_i)*(1/24)*RadSpec!V11))*1,".")</f>
        <v>1.6709062135128732</v>
      </c>
      <c r="G11" s="22">
        <f t="shared" ref="G11" si="8">(IF(AND(ISNUMBER(D11),ISNUMBER(E11),ISNUMBER(F11)),1/((1/D11)+(1/E11)+(1/F11)),IF(AND(ISNUMBER(D11),ISNUMBER(E11),NOT(ISNUMBER(F11))), 1/((1/D11)+(1/E11)),IF(AND(ISNUMBER(D11),NOT(ISNUMBER(E11)),ISNUMBER(F11)),1/((1/D11)+(1/F11)),IF(AND(NOT(ISNUMBER(D11)),ISNUMBER(E11),ISNUMBER(F11)),1/((1/E11)+(1/F11)),IF(AND(ISNUMBER(D11),NOT(ISNUMBER(E11)),NOT(ISNUMBER(F11))),1/((1/D11)),IF(AND(NOT(ISNUMBER(D11)),NOT(ISNUMBER(E11)),ISNUMBER(F11)),1/((1/F11)),IF(AND(NOT(ISNUMBER(D11)),ISNUMBER(E11),NOT(ISNUMBER(F11))),1/((1/E11)),IF(AND(NOT(ISNUMBER(D11)),NOT(ISNUMBER(E11)),NOT(ISNUMBER(F11))),".")))))))))</f>
        <v>1.6709062135128732</v>
      </c>
      <c r="H11" s="22">
        <f>IFERROR((TR/(RadSpec!F11*EF_w*(1/365)*ED_com*RadSpec!Q11*(ET_w_o+ET_w_i)*(1/24)*RadSpec!V11))*1,".")</f>
        <v>1.6709062135128732</v>
      </c>
      <c r="I11" s="22">
        <f>IFERROR((TR/(RadSpec!M11*EF_w*(1/365)*ED_com*RadSpec!R11*(ET_w_o+ET_w_i)*(1/24)*RadSpec!W11))*1,".")</f>
        <v>6.8452270973291984</v>
      </c>
      <c r="J11" s="22">
        <f>IFERROR((TR/(RadSpec!N11*EF_w*(1/365)*ED_com*RadSpec!S11*(ET_w_o+ET_w_i)*(1/24)*RadSpec!W11))*1,".")</f>
        <v>2.4809420961219573</v>
      </c>
      <c r="K11" s="22">
        <f>IFERROR((TR/(RadSpec!O11*EF_w*(1/365)*ED_com*RadSpec!T11*(ET_w_o+ET_w_i)*(1/24)*RadSpec!X11))*1,".")</f>
        <v>1.7346517684792599</v>
      </c>
      <c r="L11" s="22">
        <f>IFERROR((TR/(RadSpec!K11*EF_w*(1/365)*ED_com*RadSpec!P11*(ET_w_o+ET_w_i)*(1/24)*RadSpec!U11))*1,".")</f>
        <v>6.9466378691414814</v>
      </c>
      <c r="M11" s="22" t="str">
        <f>IFERROR(TR/(RadSpec!G11*EF_w*ED_com*(ET_w_o+ET_w_i)*(1/24)*IRA_w),".")</f>
        <v>.</v>
      </c>
      <c r="N11" s="22">
        <f>IFERROR(TR/(RadSpec!J11*EF_w*(1/365)*ED_com*(ET_w_o+ET_w_i)*(1/24)*GSF_a),".")</f>
        <v>1520.2368589002633</v>
      </c>
      <c r="O11" s="22">
        <f t="shared" ref="O11" si="9">IFERROR(IF(AND(ISNUMBER(M11),ISNUMBER(N11)),1/((1/M11)+(1/N11)),IF(AND(ISNUMBER(M11),NOT(ISNUMBER(N11))),1/((1/M11)),IF(AND(NOT(ISNUMBER(M11)),ISNUMBER(N11)),1/((1/N11)),IF(AND(NOT(ISNUMBER(M11)),NOT(ISNUMBER(N11))),".")))),".")</f>
        <v>1520.2368589002633</v>
      </c>
    </row>
    <row r="12" spans="1:15" x14ac:dyDescent="0.25">
      <c r="A12" s="23" t="s">
        <v>22</v>
      </c>
      <c r="B12" s="24" t="s">
        <v>289</v>
      </c>
      <c r="C12" s="109"/>
      <c r="D12" s="22" t="str">
        <f>IFERROR((TR/(RadSpec!I12*EF_w*ED_com*IRS_w*(1/1000)))*1,".")</f>
        <v>.</v>
      </c>
      <c r="E12" s="22" t="str">
        <f>IFERROR(IF(A12="H-3",(TR/(RadSpec!G12*EF_w*ED_com*(ET_w_o+ET_w_i)*(1/24)*IRA_w*(1/17)*1000))*1,(TR/(RadSpec!G12*EF_w*ED_com*(ET_w_o+ET_w_i)*(1/24)*IRA_w*(1/PEF_wind)*1000))*1),".")</f>
        <v>.</v>
      </c>
      <c r="F12" s="22">
        <f>IFERROR((TR/(RadSpec!F12*EF_w*(1/365)*ED_com*RadSpec!Q12*(ET_w_o+ET_w_i)*(1/24)*RadSpec!V12))*1,".")</f>
        <v>0.36243328012912074</v>
      </c>
      <c r="G12" s="22">
        <f t="shared" ref="G12" si="10">(IF(AND(ISNUMBER(D12),ISNUMBER(E12),ISNUMBER(F12)),1/((1/D12)+(1/E12)+(1/F12)),IF(AND(ISNUMBER(D12),ISNUMBER(E12),NOT(ISNUMBER(F12))), 1/((1/D12)+(1/E12)),IF(AND(ISNUMBER(D12),NOT(ISNUMBER(E12)),ISNUMBER(F12)),1/((1/D12)+(1/F12)),IF(AND(NOT(ISNUMBER(D12)),ISNUMBER(E12),ISNUMBER(F12)),1/((1/E12)+(1/F12)),IF(AND(ISNUMBER(D12),NOT(ISNUMBER(E12)),NOT(ISNUMBER(F12))),1/((1/D12)),IF(AND(NOT(ISNUMBER(D12)),NOT(ISNUMBER(E12)),ISNUMBER(F12)),1/((1/F12)),IF(AND(NOT(ISNUMBER(D12)),ISNUMBER(E12),NOT(ISNUMBER(F12))),1/((1/E12)),IF(AND(NOT(ISNUMBER(D12)),NOT(ISNUMBER(E12)),NOT(ISNUMBER(F12))),".")))))))))</f>
        <v>0.36243328012912074</v>
      </c>
      <c r="H12" s="22">
        <f>IFERROR((TR/(RadSpec!F12*EF_w*(1/365)*ED_com*RadSpec!Q12*(ET_w_o+ET_w_i)*(1/24)*RadSpec!V12))*1,".")</f>
        <v>0.36243328012912074</v>
      </c>
      <c r="I12" s="22">
        <f>IFERROR((TR/(RadSpec!M12*EF_w*(1/365)*ED_com*RadSpec!R12*(ET_w_o+ET_w_i)*(1/24)*RadSpec!W12))*1,".")</f>
        <v>1.5948913475069726</v>
      </c>
      <c r="J12" s="22">
        <f>IFERROR((TR/(RadSpec!N12*EF_w*(1/365)*ED_com*RadSpec!S12*(ET_w_o+ET_w_i)*(1/24)*RadSpec!W12))*1,".")</f>
        <v>0.57182689776469509</v>
      </c>
      <c r="K12" s="22">
        <f>IFERROR((TR/(RadSpec!O12*EF_w*(1/365)*ED_com*RadSpec!T12*(ET_w_o+ET_w_i)*(1/24)*RadSpec!X12))*1,".")</f>
        <v>0.38771932292882688</v>
      </c>
      <c r="L12" s="22">
        <f>IFERROR((TR/(RadSpec!K12*EF_w*(1/365)*ED_com*RadSpec!P12*(ET_w_o+ET_w_i)*(1/24)*RadSpec!U12))*1,".")</f>
        <v>1.5678931867654753</v>
      </c>
      <c r="M12" s="22" t="str">
        <f>IFERROR(TR/(RadSpec!G12*EF_w*ED_com*(ET_w_o+ET_w_i)*(1/24)*IRA_w),".")</f>
        <v>.</v>
      </c>
      <c r="N12" s="22">
        <f>IFERROR(TR/(RadSpec!J12*EF_w*(1/365)*ED_com*(ET_w_o+ET_w_i)*(1/24)*GSF_a),".")</f>
        <v>353.0526540551906</v>
      </c>
      <c r="O12" s="22">
        <f t="shared" ref="O12" si="11">IFERROR(IF(AND(ISNUMBER(M12),ISNUMBER(N12)),1/((1/M12)+(1/N12)),IF(AND(ISNUMBER(M12),NOT(ISNUMBER(N12))),1/((1/M12)),IF(AND(NOT(ISNUMBER(M12)),ISNUMBER(N12)),1/((1/N12)),IF(AND(NOT(ISNUMBER(M12)),NOT(ISNUMBER(N12))),".")))),".")</f>
        <v>353.0526540551906</v>
      </c>
    </row>
    <row r="13" spans="1:15" x14ac:dyDescent="0.25">
      <c r="A13" s="23" t="s">
        <v>23</v>
      </c>
      <c r="B13" s="24" t="s">
        <v>289</v>
      </c>
      <c r="C13" s="2"/>
      <c r="D13" s="22">
        <f>IFERROR((TR/(RadSpec!I13*EF_w*ED_com*IRS_w*(1/1000)))*1,".")</f>
        <v>34.049797829325385</v>
      </c>
      <c r="E13" s="22">
        <f>IFERROR(IF(A13="H-3",(TR/(RadSpec!G13*EF_w*ED_com*(ET_w_o+ET_w_i)*(1/24)*IRA_w*(1/17)*1000))*1,(TR/(RadSpec!G13*EF_w*ED_com*(ET_w_o+ET_w_i)*(1/24)*IRA_w*(1/PEF_wind)*1000))*1),".")</f>
        <v>379.24170143509923</v>
      </c>
      <c r="F13" s="22">
        <f>IFERROR((TR/(RadSpec!F13*EF_w*(1/365)*ED_com*RadSpec!Q13*(ET_w_o+ET_w_i)*(1/24)*RadSpec!V13))*1,".")</f>
        <v>3.3870739948861406</v>
      </c>
      <c r="G13" s="22">
        <f t="shared" ref="G13:G14" si="12">(IF(AND(ISNUMBER(D13),ISNUMBER(E13),ISNUMBER(F13)),1/((1/D13)+(1/E13)+(1/F13)),IF(AND(ISNUMBER(D13),ISNUMBER(E13),NOT(ISNUMBER(F13))), 1/((1/D13)+(1/E13)),IF(AND(ISNUMBER(D13),NOT(ISNUMBER(E13)),ISNUMBER(F13)),1/((1/D13)+(1/F13)),IF(AND(NOT(ISNUMBER(D13)),ISNUMBER(E13),ISNUMBER(F13)),1/((1/E13)+(1/F13)),IF(AND(ISNUMBER(D13),NOT(ISNUMBER(E13)),NOT(ISNUMBER(F13))),1/((1/D13)),IF(AND(NOT(ISNUMBER(D13)),NOT(ISNUMBER(E13)),ISNUMBER(F13)),1/((1/F13)),IF(AND(NOT(ISNUMBER(D13)),ISNUMBER(E13),NOT(ISNUMBER(F13))),1/((1/E13)),IF(AND(NOT(ISNUMBER(D13)),NOT(ISNUMBER(E13)),NOT(ISNUMBER(F13))),".")))))))))</f>
        <v>3.0558081791410063</v>
      </c>
      <c r="H13" s="22">
        <f>IFERROR((TR/(RadSpec!F13*EF_w*(1/365)*ED_com*RadSpec!Q13*(ET_w_o+ET_w_i)*(1/24)*RadSpec!V13))*1,".")</f>
        <v>3.3870739948861406</v>
      </c>
      <c r="I13" s="22">
        <f>IFERROR((TR/(RadSpec!M13*EF_w*(1/365)*ED_com*RadSpec!R13*(ET_w_o+ET_w_i)*(1/24)*RadSpec!W13))*1,".")</f>
        <v>10.097400940340243</v>
      </c>
      <c r="J13" s="22">
        <f>IFERROR((TR/(RadSpec!N13*EF_w*(1/365)*ED_com*RadSpec!S13*(ET_w_o+ET_w_i)*(1/24)*RadSpec!W13))*1,".")</f>
        <v>4.2434213227787341</v>
      </c>
      <c r="K13" s="22">
        <f>IFERROR((TR/(RadSpec!O13*EF_w*(1/365)*ED_com*RadSpec!T13*(ET_w_o+ET_w_i)*(1/24)*RadSpec!X13))*1,".")</f>
        <v>3.4024348746815418</v>
      </c>
      <c r="L13" s="22">
        <f>IFERROR((TR/(RadSpec!K13*EF_w*(1/365)*ED_com*RadSpec!P13*(ET_w_o+ET_w_i)*(1/24)*RadSpec!U13))*1,".")</f>
        <v>8.3359654429697763</v>
      </c>
      <c r="M13" s="22">
        <f>IFERROR(TR/(RadSpec!G13*EF_w*ED_com*(ET_w_o+ET_w_i)*(1/24)*IRA_w),".")</f>
        <v>2.7898866608544026E-4</v>
      </c>
      <c r="N13" s="22">
        <f>IFERROR(TR/(RadSpec!J13*EF_w*(1/365)*ED_com*(ET_w_o+ET_w_i)*(1/24)*GSF_a),".")</f>
        <v>2283.8261487588434</v>
      </c>
      <c r="O13" s="22">
        <f t="shared" ref="O13:O14" si="13">IFERROR(IF(AND(ISNUMBER(M13),ISNUMBER(N13)),1/((1/M13)+(1/N13)),IF(AND(ISNUMBER(M13),NOT(ISNUMBER(N13))),1/((1/M13)),IF(AND(NOT(ISNUMBER(M13)),ISNUMBER(N13)),1/((1/N13)),IF(AND(NOT(ISNUMBER(M13)),NOT(ISNUMBER(N13))),".")))),".")</f>
        <v>2.7898863200462093E-4</v>
      </c>
    </row>
    <row r="14" spans="1:15" x14ac:dyDescent="0.25">
      <c r="A14" s="23" t="s">
        <v>24</v>
      </c>
      <c r="B14" s="24" t="s">
        <v>289</v>
      </c>
      <c r="C14" s="2"/>
      <c r="D14" s="22">
        <f>IFERROR((TR/(RadSpec!I14*EF_w*ED_com*IRS_w*(1/1000)))*1,".")</f>
        <v>619.53070549059089</v>
      </c>
      <c r="E14" s="22">
        <f>IFERROR(IF(A14="H-3",(TR/(RadSpec!G14*EF_w*ED_com*(ET_w_o+ET_w_i)*(1/24)*IRA_w*(1/17)*1000))*1,(TR/(RadSpec!G14*EF_w*ED_com*(ET_w_o+ET_w_i)*(1/24)*IRA_w*(1/PEF_wind)*1000))*1),".")</f>
        <v>711652.10317724443</v>
      </c>
      <c r="F14" s="22">
        <f>IFERROR((TR/(RadSpec!F14*EF_w*(1/365)*ED_com*RadSpec!Q14*(ET_w_o+ET_w_i)*(1/24)*RadSpec!V14))*1,".")</f>
        <v>0.21809211914746515</v>
      </c>
      <c r="G14" s="22">
        <f t="shared" si="12"/>
        <v>0.21801530485568177</v>
      </c>
      <c r="H14" s="22">
        <f>IFERROR((TR/(RadSpec!F14*EF_w*(1/365)*ED_com*RadSpec!Q14*(ET_w_o+ET_w_i)*(1/24)*RadSpec!V14))*1,".")</f>
        <v>0.21809211914746515</v>
      </c>
      <c r="I14" s="22">
        <f>IFERROR((TR/(RadSpec!M14*EF_w*(1/365)*ED_com*RadSpec!R14*(ET_w_o+ET_w_i)*(1/24)*RadSpec!W14))*1,".")</f>
        <v>0.91940795326872549</v>
      </c>
      <c r="J14" s="22">
        <f>IFERROR((TR/(RadSpec!N14*EF_w*(1/365)*ED_com*RadSpec!S14*(ET_w_o+ET_w_i)*(1/24)*RadSpec!W14))*1,".")</f>
        <v>0.33492718297646423</v>
      </c>
      <c r="K14" s="22">
        <f>IFERROR((TR/(RadSpec!O14*EF_w*(1/365)*ED_com*RadSpec!T14*(ET_w_o+ET_w_i)*(1/24)*RadSpec!X14))*1,".")</f>
        <v>0.23048752376874962</v>
      </c>
      <c r="L14" s="22">
        <f>IFERROR((TR/(RadSpec!K14*EF_w*(1/365)*ED_com*RadSpec!P14*(ET_w_o+ET_w_i)*(1/24)*RadSpec!U14))*1,".")</f>
        <v>0.93197129176059634</v>
      </c>
      <c r="M14" s="22">
        <f>IFERROR(TR/(RadSpec!G14*EF_w*ED_com*(ET_w_o+ET_w_i)*(1/24)*IRA_w),".")</f>
        <v>0.52352594725476087</v>
      </c>
      <c r="N14" s="22">
        <f>IFERROR(TR/(RadSpec!J14*EF_w*(1/365)*ED_com*(ET_w_o+ET_w_i)*(1/24)*GSF_a),".")</f>
        <v>205.26317096232015</v>
      </c>
      <c r="O14" s="22">
        <f t="shared" si="13"/>
        <v>0.52219408556707636</v>
      </c>
    </row>
    <row r="15" spans="1:15" x14ac:dyDescent="0.25">
      <c r="A15" s="23" t="s">
        <v>25</v>
      </c>
      <c r="B15" s="24" t="s">
        <v>289</v>
      </c>
      <c r="C15" s="2"/>
      <c r="D15" s="22">
        <f>IFERROR((TR/(RadSpec!I15*EF_w*ED_com*IRS_w*(1/1000)))*1,".")</f>
        <v>13104.013104013104</v>
      </c>
      <c r="E15" s="22">
        <f>IFERROR(IF(A15="H-3",(TR/(RadSpec!G15*EF_w*ED_com*(ET_w_o+ET_w_i)*(1/24)*IRA_w*(1/17)*1000))*1,(TR/(RadSpec!G15*EF_w*ED_com*(ET_w_o+ET_w_i)*(1/24)*IRA_w*(1/PEF_wind)*1000))*1),".")</f>
        <v>52297565.589359768</v>
      </c>
      <c r="F15" s="22">
        <f>IFERROR((TR/(RadSpec!F15*EF_w*(1/365)*ED_com*RadSpec!Q15*(ET_w_o+ET_w_i)*(1/24)*RadSpec!V15))*1,".")</f>
        <v>362.43328012912076</v>
      </c>
      <c r="G15" s="22">
        <f t="shared" ref="G15:G17" si="14">(IF(AND(ISNUMBER(D15),ISNUMBER(E15),ISNUMBER(F15)),1/((1/D15)+(1/E15)+(1/F15)),IF(AND(ISNUMBER(D15),ISNUMBER(E15),NOT(ISNUMBER(F15))), 1/((1/D15)+(1/E15)),IF(AND(ISNUMBER(D15),NOT(ISNUMBER(E15)),ISNUMBER(F15)),1/((1/D15)+(1/F15)),IF(AND(NOT(ISNUMBER(D15)),ISNUMBER(E15),ISNUMBER(F15)),1/((1/E15)+(1/F15)),IF(AND(ISNUMBER(D15),NOT(ISNUMBER(E15)),NOT(ISNUMBER(F15))),1/((1/D15)),IF(AND(NOT(ISNUMBER(D15)),NOT(ISNUMBER(E15)),ISNUMBER(F15)),1/((1/F15)),IF(AND(NOT(ISNUMBER(D15)),ISNUMBER(E15),NOT(ISNUMBER(F15))),1/((1/E15)),IF(AND(NOT(ISNUMBER(D15)),NOT(ISNUMBER(E15)),NOT(ISNUMBER(F15))),".")))))))))</f>
        <v>352.67644401836503</v>
      </c>
      <c r="H15" s="22">
        <f>IFERROR((TR/(RadSpec!F15*EF_w*(1/365)*ED_com*RadSpec!Q15*(ET_w_o+ET_w_i)*(1/24)*RadSpec!V15))*1,".")</f>
        <v>362.43328012912076</v>
      </c>
      <c r="I15" s="22">
        <f>IFERROR((TR/(RadSpec!M15*EF_w*(1/365)*ED_com*RadSpec!R15*(ET_w_o+ET_w_i)*(1/24)*RadSpec!W15))*1,".")</f>
        <v>1056.5228698314038</v>
      </c>
      <c r="J15" s="22">
        <f>IFERROR((TR/(RadSpec!N15*EF_w*(1/365)*ED_com*RadSpec!S15*(ET_w_o+ET_w_i)*(1/24)*RadSpec!W15))*1,".")</f>
        <v>467.26263693776787</v>
      </c>
      <c r="K15" s="22">
        <f>IFERROR((TR/(RadSpec!O15*EF_w*(1/365)*ED_com*RadSpec!T15*(ET_w_o+ET_w_i)*(1/24)*RadSpec!X15))*1,".")</f>
        <v>368.03379439160165</v>
      </c>
      <c r="L15" s="22">
        <f>IFERROR((TR/(RadSpec!K15*EF_w*(1/365)*ED_com*RadSpec!P15*(ET_w_o+ET_w_i)*(1/24)*RadSpec!U15))*1,".")</f>
        <v>344.46138194089986</v>
      </c>
      <c r="M15" s="22">
        <f>IFERROR(TR/(RadSpec!G15*EF_w*ED_com*(ET_w_o+ET_w_i)*(1/24)*IRA_w),".")</f>
        <v>38.472636337405021</v>
      </c>
      <c r="N15" s="22">
        <f>IFERROR(TR/(RadSpec!J15*EF_w*(1/365)*ED_com*(ET_w_o+ET_w_i)*(1/24)*GSF_a),".")</f>
        <v>102772.17669414794</v>
      </c>
      <c r="O15" s="22">
        <f t="shared" ref="O15:O17" si="15">IFERROR(IF(AND(ISNUMBER(M15),ISNUMBER(N15)),1/((1/M15)+(1/N15)),IF(AND(ISNUMBER(M15),NOT(ISNUMBER(N15))),1/((1/M15)),IF(AND(NOT(ISNUMBER(M15)),ISNUMBER(N15)),1/((1/N15)),IF(AND(NOT(ISNUMBER(M15)),NOT(ISNUMBER(N15))),".")))),".")</f>
        <v>38.458239543333697</v>
      </c>
    </row>
    <row r="16" spans="1:15" x14ac:dyDescent="0.25">
      <c r="A16" s="23" t="s">
        <v>26</v>
      </c>
      <c r="B16" s="24" t="s">
        <v>289</v>
      </c>
      <c r="C16" s="109"/>
      <c r="D16" s="22">
        <f>IFERROR((TR/(RadSpec!I16*EF_w*ED_com*IRS_w*(1/1000)))*1,".")</f>
        <v>2.6693360026693358</v>
      </c>
      <c r="E16" s="22">
        <f>IFERROR(IF(A16="H-3",(TR/(RadSpec!G16*EF_w*ED_com*(ET_w_o+ET_w_i)*(1/24)*IRA_w*(1/17)*1000))*1,(TR/(RadSpec!G16*EF_w*ED_com*(ET_w_o+ET_w_i)*(1/24)*IRA_w*(1/PEF_wind)*1000))*1),".")</f>
        <v>685.11029979534248</v>
      </c>
      <c r="F16" s="22">
        <f>IFERROR((TR/(RadSpec!F16*EF_w*(1/365)*ED_com*RadSpec!Q16*(ET_w_o+ET_w_i)*(1/24)*RadSpec!V16))*1,".")</f>
        <v>118.14754171138269</v>
      </c>
      <c r="G16" s="22">
        <f t="shared" si="14"/>
        <v>2.6004514594177008</v>
      </c>
      <c r="H16" s="22">
        <f>IFERROR((TR/(RadSpec!F16*EF_w*(1/365)*ED_com*RadSpec!Q16*(ET_w_o+ET_w_i)*(1/24)*RadSpec!V16))*1,".")</f>
        <v>118.14754171138269</v>
      </c>
      <c r="I16" s="22">
        <f>IFERROR((TR/(RadSpec!M16*EF_w*(1/365)*ED_com*RadSpec!R16*(ET_w_o+ET_w_i)*(1/24)*RadSpec!W16))*1,".")</f>
        <v>183.88159065374509</v>
      </c>
      <c r="J16" s="22">
        <f>IFERROR((TR/(RadSpec!N16*EF_w*(1/365)*ED_com*RadSpec!S16*(ET_w_o+ET_w_i)*(1/24)*RadSpec!W16))*1,".")</f>
        <v>119.46447290880255</v>
      </c>
      <c r="K16" s="22">
        <f>IFERROR((TR/(RadSpec!O16*EF_w*(1/365)*ED_com*RadSpec!T16*(ET_w_o+ET_w_i)*(1/24)*RadSpec!X16))*1,".")</f>
        <v>118.14754171138269</v>
      </c>
      <c r="L16" s="22">
        <f>IFERROR((TR/(RadSpec!K16*EF_w*(1/365)*ED_com*RadSpec!P16*(ET_w_o+ET_w_i)*(1/24)*RadSpec!U16))*1,".")</f>
        <v>102.07304624044625</v>
      </c>
      <c r="M16" s="22">
        <f>IFERROR(TR/(RadSpec!G16*EF_w*ED_com*(ET_w_o+ET_w_i)*(1/24)*IRA_w),".")</f>
        <v>5.0400050400050398E-4</v>
      </c>
      <c r="N16" s="22">
        <f>IFERROR(TR/(RadSpec!J16*EF_w*(1/365)*ED_com*(ET_w_o+ET_w_i)*(1/24)*GSF_a),".")</f>
        <v>44524.444502509206</v>
      </c>
      <c r="O16" s="22">
        <f t="shared" si="15"/>
        <v>5.0400049829540179E-4</v>
      </c>
    </row>
    <row r="17" spans="1:15" x14ac:dyDescent="0.25">
      <c r="A17" s="23" t="s">
        <v>27</v>
      </c>
      <c r="B17" s="24" t="s">
        <v>289</v>
      </c>
      <c r="C17" s="109"/>
      <c r="D17" s="22">
        <f>IFERROR((TR/(RadSpec!I17*EF_w*ED_com*IRS_w*(1/1000)))*1,".")</f>
        <v>7255.5777253763817</v>
      </c>
      <c r="E17" s="22">
        <f>IFERROR(IF(A17="H-3",(TR/(RadSpec!G17*EF_w*ED_com*(ET_w_o+ET_w_i)*(1/24)*IRA_w*(1/17)*1000))*1,(TR/(RadSpec!G17*EF_w*ED_com*(ET_w_o+ET_w_i)*(1/24)*IRA_w*(1/PEF_wind)*1000))*1),".")</f>
        <v>139958.24695819139</v>
      </c>
      <c r="F17" s="22">
        <f>IFERROR((TR/(RadSpec!F17*EF_w*(1/365)*ED_com*RadSpec!Q17*(ET_w_o+ET_w_i)*(1/24)*RadSpec!V17))*1,".")</f>
        <v>0.17631889303578846</v>
      </c>
      <c r="G17" s="22">
        <f t="shared" si="14"/>
        <v>0.17631438627296211</v>
      </c>
      <c r="H17" s="22">
        <f>IFERROR((TR/(RadSpec!F17*EF_w*(1/365)*ED_com*RadSpec!Q17*(ET_w_o+ET_w_i)*(1/24)*RadSpec!V17))*1,".")</f>
        <v>0.17631889303578846</v>
      </c>
      <c r="I17" s="22">
        <f>IFERROR((TR/(RadSpec!M17*EF_w*(1/365)*ED_com*RadSpec!R17*(ET_w_o+ET_w_i)*(1/24)*RadSpec!W17))*1,".")</f>
        <v>0.77503810936702477</v>
      </c>
      <c r="J17" s="22">
        <f>IFERROR((TR/(RadSpec!N17*EF_w*(1/365)*ED_com*RadSpec!S17*(ET_w_o+ET_w_i)*(1/24)*RadSpec!W17))*1,".")</f>
        <v>0.2782777781406825</v>
      </c>
      <c r="K17" s="22">
        <f>IFERROR((TR/(RadSpec!O17*EF_w*(1/365)*ED_com*RadSpec!T17*(ET_w_o+ET_w_i)*(1/24)*RadSpec!X17))*1,".")</f>
        <v>0.18826521703068505</v>
      </c>
      <c r="L17" s="22">
        <f>IFERROR((TR/(RadSpec!K17*EF_w*(1/365)*ED_com*RadSpec!P17*(ET_w_o+ET_w_i)*(1/24)*RadSpec!U17))*1,".")</f>
        <v>0.78558836635317275</v>
      </c>
      <c r="M17" s="22">
        <f>IFERROR(TR/(RadSpec!G17*EF_w*ED_com*(ET_w_o+ET_w_i)*(1/24)*IRA_w),".")</f>
        <v>0.10296010296010297</v>
      </c>
      <c r="N17" s="22">
        <f>IFERROR(TR/(RadSpec!J17*EF_w*(1/365)*ED_com*(ET_w_o+ET_w_i)*(1/24)*GSF_a),".")</f>
        <v>171.87557614370675</v>
      </c>
      <c r="O17" s="22">
        <f t="shared" si="15"/>
        <v>0.10289846280992546</v>
      </c>
    </row>
    <row r="18" spans="1:15" x14ac:dyDescent="0.25">
      <c r="A18" s="23" t="s">
        <v>28</v>
      </c>
      <c r="B18" s="24" t="s">
        <v>289</v>
      </c>
      <c r="C18" s="109"/>
      <c r="D18" s="22">
        <f>IFERROR((TR/(RadSpec!I18*EF_w*ED_com*IRS_w*(1/1000)))*1,".")</f>
        <v>1.114516578434104</v>
      </c>
      <c r="E18" s="22">
        <f>IFERROR(IF(A18="H-3",(TR/(RadSpec!G18*EF_w*ED_com*(ET_w_o+ET_w_i)*(1/24)*IRA_w*(1/17)*1000))*1,(TR/(RadSpec!G18*EF_w*ED_com*(ET_w_o+ET_w_i)*(1/24)*IRA_w*(1/PEF_wind)*1000))*1),".")</f>
        <v>749.77632299031086</v>
      </c>
      <c r="F18" s="22">
        <f>IFERROR((TR/(RadSpec!F18*EF_w*(1/365)*ED_com*RadSpec!Q18*(ET_w_o+ET_w_i)*(1/24)*RadSpec!V18))*1,".")</f>
        <v>3887.2377713330575</v>
      </c>
      <c r="G18" s="22">
        <f t="shared" ref="G18:G21" si="16">(IF(AND(ISNUMBER(D18),ISNUMBER(E18),ISNUMBER(F18)),1/((1/D18)+(1/E18)+(1/F18)),IF(AND(ISNUMBER(D18),ISNUMBER(E18),NOT(ISNUMBER(F18))), 1/((1/D18)+(1/E18)),IF(AND(ISNUMBER(D18),NOT(ISNUMBER(E18)),ISNUMBER(F18)),1/((1/D18)+(1/F18)),IF(AND(NOT(ISNUMBER(D18)),ISNUMBER(E18),ISNUMBER(F18)),1/((1/E18)+(1/F18)),IF(AND(ISNUMBER(D18),NOT(ISNUMBER(E18)),NOT(ISNUMBER(F18))),1/((1/D18)),IF(AND(NOT(ISNUMBER(D18)),NOT(ISNUMBER(E18)),ISNUMBER(F18)),1/((1/F18)),IF(AND(NOT(ISNUMBER(D18)),ISNUMBER(E18),NOT(ISNUMBER(F18))),1/((1/E18)),IF(AND(NOT(ISNUMBER(D18)),NOT(ISNUMBER(E18)),NOT(ISNUMBER(F18))),".")))))))))</f>
        <v>1.1125438411394455</v>
      </c>
      <c r="H18" s="22">
        <f>IFERROR((TR/(RadSpec!F18*EF_w*(1/365)*ED_com*RadSpec!Q18*(ET_w_o+ET_w_i)*(1/24)*RadSpec!V18))*1,".")</f>
        <v>3887.2377713330575</v>
      </c>
      <c r="I18" s="22">
        <f>IFERROR((TR/(RadSpec!M18*EF_w*(1/365)*ED_com*RadSpec!R18*(ET_w_o+ET_w_i)*(1/24)*RadSpec!W18))*1,".")</f>
        <v>19578.206938081421</v>
      </c>
      <c r="J18" s="22">
        <f>IFERROR((TR/(RadSpec!N18*EF_w*(1/365)*ED_com*RadSpec!S18*(ET_w_o+ET_w_i)*(1/24)*RadSpec!W18))*1,".")</f>
        <v>6895.5596495154423</v>
      </c>
      <c r="K18" s="22">
        <f>IFERROR((TR/(RadSpec!O18*EF_w*(1/365)*ED_com*RadSpec!T18*(ET_w_o+ET_w_i)*(1/24)*RadSpec!X18))*1,".")</f>
        <v>4426.1763413998824</v>
      </c>
      <c r="L18" s="22">
        <f>IFERROR((TR/(RadSpec!K18*EF_w*(1/365)*ED_com*RadSpec!P18*(ET_w_o+ET_w_i)*(1/24)*RadSpec!U18))*1,".")</f>
        <v>20140.587647443761</v>
      </c>
      <c r="M18" s="22">
        <f>IFERROR(TR/(RadSpec!G18*EF_w*ED_com*(ET_w_o+ET_w_i)*(1/24)*IRA_w),".")</f>
        <v>5.5157198014340865E-4</v>
      </c>
      <c r="N18" s="22">
        <f>IFERROR(TR/(RadSpec!J18*EF_w*(1/365)*ED_com*(ET_w_o+ET_w_i)*(1/24)*GSF_a),".")</f>
        <v>4191267.5411579888</v>
      </c>
      <c r="O18" s="22">
        <f t="shared" ref="O18:O21" si="17">IFERROR(IF(AND(ISNUMBER(M18),ISNUMBER(N18)),1/((1/M18)+(1/N18)),IF(AND(ISNUMBER(M18),NOT(ISNUMBER(N18))),1/((1/M18)),IF(AND(NOT(ISNUMBER(M18)),ISNUMBER(N18)),1/((1/N18)),IF(AND(NOT(ISNUMBER(M18)),NOT(ISNUMBER(N18))),".")))),".")</f>
        <v>5.5157198007082164E-4</v>
      </c>
    </row>
    <row r="19" spans="1:15" x14ac:dyDescent="0.25">
      <c r="A19" s="23" t="s">
        <v>29</v>
      </c>
      <c r="B19" s="24" t="s">
        <v>289</v>
      </c>
      <c r="C19" s="2"/>
      <c r="D19" s="22" t="str">
        <f>IFERROR((TR/(RadSpec!I19*EF_w*ED_com*IRS_w*(1/1000)))*1,".")</f>
        <v>.</v>
      </c>
      <c r="E19" s="22" t="str">
        <f>IFERROR(IF(A19="H-3",(TR/(RadSpec!G19*EF_w*ED_com*(ET_w_o+ET_w_i)*(1/24)*IRA_w*(1/17)*1000))*1,(TR/(RadSpec!G19*EF_w*ED_com*(ET_w_o+ET_w_i)*(1/24)*IRA_w*(1/PEF_wind)*1000))*1),".")</f>
        <v>.</v>
      </c>
      <c r="F19" s="22">
        <f>IFERROR((TR/(RadSpec!F19*EF_w*(1/365)*ED_com*RadSpec!Q19*(ET_w_o+ET_w_i)*(1/24)*RadSpec!V19))*1,".")</f>
        <v>1013.8336349557839</v>
      </c>
      <c r="G19" s="22">
        <f t="shared" si="16"/>
        <v>1013.8336349557837</v>
      </c>
      <c r="H19" s="22">
        <f>IFERROR((TR/(RadSpec!F19*EF_w*(1/365)*ED_com*RadSpec!Q19*(ET_w_o+ET_w_i)*(1/24)*RadSpec!V19))*1,".")</f>
        <v>1013.8336349557839</v>
      </c>
      <c r="I19" s="22">
        <f>IFERROR((TR/(RadSpec!M19*EF_w*(1/365)*ED_com*RadSpec!R19*(ET_w_o+ET_w_i)*(1/24)*RadSpec!W19))*1,".")</f>
        <v>5069.1681747789198</v>
      </c>
      <c r="J19" s="22">
        <f>IFERROR((TR/(RadSpec!N19*EF_w*(1/365)*ED_com*RadSpec!S19*(ET_w_o+ET_w_i)*(1/24)*RadSpec!W19))*1,".")</f>
        <v>1799.9925380692896</v>
      </c>
      <c r="K19" s="22">
        <f>IFERROR((TR/(RadSpec!O19*EF_w*(1/365)*ED_com*RadSpec!T19*(ET_w_o+ET_w_i)*(1/24)*RadSpec!X19))*1,".")</f>
        <v>1154.2105997958154</v>
      </c>
      <c r="L19" s="22">
        <f>IFERROR((TR/(RadSpec!K19*EF_w*(1/365)*ED_com*RadSpec!P19*(ET_w_o+ET_w_i)*(1/24)*RadSpec!U19))*1,".")</f>
        <v>5209.9784018561122</v>
      </c>
      <c r="M19" s="22" t="str">
        <f>IFERROR(TR/(RadSpec!G19*EF_w*ED_com*(ET_w_o+ET_w_i)*(1/24)*IRA_w),".")</f>
        <v>.</v>
      </c>
      <c r="N19" s="22">
        <f>IFERROR(TR/(RadSpec!J19*EF_w*(1/365)*ED_com*(ET_w_o+ET_w_i)*(1/24)*GSF_a),".")</f>
        <v>1087299.8403873623</v>
      </c>
      <c r="O19" s="22">
        <f t="shared" si="17"/>
        <v>1087299.8403873623</v>
      </c>
    </row>
    <row r="20" spans="1:15" x14ac:dyDescent="0.25">
      <c r="A20" s="23" t="s">
        <v>30</v>
      </c>
      <c r="B20" s="24" t="s">
        <v>289</v>
      </c>
      <c r="C20" s="109"/>
      <c r="D20" s="22" t="str">
        <f>IFERROR((TR/(RadSpec!I20*EF_w*ED_com*IRS_w*(1/1000)))*1,".")</f>
        <v>.</v>
      </c>
      <c r="E20" s="22" t="str">
        <f>IFERROR(IF(A20="H-3",(TR/(RadSpec!G20*EF_w*ED_com*(ET_w_o+ET_w_i)*(1/24)*IRA_w*(1/17)*1000))*1,(TR/(RadSpec!G20*EF_w*ED_com*(ET_w_o+ET_w_i)*(1/24)*IRA_w*(1/PEF_wind)*1000))*1),".")</f>
        <v>.</v>
      </c>
      <c r="F20" s="22">
        <f>IFERROR((TR/(RadSpec!F20*EF_w*(1/365)*ED_com*RadSpec!Q20*(ET_w_o+ET_w_i)*(1/24)*RadSpec!V20))*1,".")</f>
        <v>454.6890241619879</v>
      </c>
      <c r="G20" s="22">
        <f t="shared" si="16"/>
        <v>454.68902416198796</v>
      </c>
      <c r="H20" s="22">
        <f>IFERROR((TR/(RadSpec!F20*EF_w*(1/365)*ED_com*RadSpec!Q20*(ET_w_o+ET_w_i)*(1/24)*RadSpec!V20))*1,".")</f>
        <v>454.6890241619879</v>
      </c>
      <c r="I20" s="22">
        <f>IFERROR((TR/(RadSpec!M20*EF_w*(1/365)*ED_com*RadSpec!R20*(ET_w_o+ET_w_i)*(1/24)*RadSpec!W20))*1,".")</f>
        <v>2298.5198831718135</v>
      </c>
      <c r="J20" s="22">
        <f>IFERROR((TR/(RadSpec!N20*EF_w*(1/365)*ED_com*RadSpec!S20*(ET_w_o+ET_w_i)*(1/24)*RadSpec!W20))*1,".")</f>
        <v>815.4748802905217</v>
      </c>
      <c r="K20" s="22">
        <f>IFERROR((TR/(RadSpec!O20*EF_w*(1/365)*ED_com*RadSpec!T20*(ET_w_o+ET_w_i)*(1/24)*RadSpec!X20))*1,".")</f>
        <v>519.19507949292733</v>
      </c>
      <c r="L20" s="22">
        <f>IFERROR((TR/(RadSpec!K20*EF_w*(1/365)*ED_com*RadSpec!P20*(ET_w_o+ET_w_i)*(1/24)*RadSpec!U20))*1,".")</f>
        <v>2359.2355027272956</v>
      </c>
      <c r="M20" s="22" t="str">
        <f>IFERROR(TR/(RadSpec!G20*EF_w*ED_com*(ET_w_o+ET_w_i)*(1/24)*IRA_w),".")</f>
        <v>.</v>
      </c>
      <c r="N20" s="22">
        <f>IFERROR(TR/(RadSpec!J20*EF_w*(1/365)*ED_com*(ET_w_o+ET_w_i)*(1/24)*GSF_a),".")</f>
        <v>490350.90840998688</v>
      </c>
      <c r="O20" s="22">
        <f t="shared" si="17"/>
        <v>490350.90840998682</v>
      </c>
    </row>
    <row r="21" spans="1:15" x14ac:dyDescent="0.25">
      <c r="A21" s="23" t="s">
        <v>31</v>
      </c>
      <c r="B21" s="24" t="s">
        <v>289</v>
      </c>
      <c r="C21" s="109"/>
      <c r="D21" s="22" t="str">
        <f>IFERROR((TR/(RadSpec!I21*EF_w*ED_com*IRS_w*(1/1000)))*1,".")</f>
        <v>.</v>
      </c>
      <c r="E21" s="22">
        <f>IFERROR(IF(A21="H-3",(TR/(RadSpec!G21*EF_w*ED_com*(ET_w_o+ET_w_i)*(1/24)*IRA_w*(1/17)*1000))*1,(TR/(RadSpec!G21*EF_w*ED_com*(ET_w_o+ET_w_i)*(1/24)*IRA_w*(1/PEF_wind)*1000))*1),".")</f>
        <v>782356.53155765973</v>
      </c>
      <c r="F21" s="22">
        <f>IFERROR((TR/(RadSpec!F21*EF_w*(1/365)*ED_com*RadSpec!Q21*(ET_w_o+ET_w_i)*(1/24)*RadSpec!V21))*1,".")</f>
        <v>28450394.003309824</v>
      </c>
      <c r="G21" s="22">
        <f t="shared" si="16"/>
        <v>761418.31222243607</v>
      </c>
      <c r="H21" s="22">
        <f>IFERROR((TR/(RadSpec!F21*EF_w*(1/365)*ED_com*RadSpec!Q21*(ET_w_o+ET_w_i)*(1/24)*RadSpec!V21))*1,".")</f>
        <v>28450394.003309824</v>
      </c>
      <c r="I21" s="22">
        <f>IFERROR((TR/(RadSpec!M21*EF_w*(1/365)*ED_com*RadSpec!R21*(ET_w_o+ET_w_i)*(1/24)*RadSpec!W21))*1,".")</f>
        <v>61656549.134391837</v>
      </c>
      <c r="J21" s="22">
        <f>IFERROR((TR/(RadSpec!N21*EF_w*(1/365)*ED_com*RadSpec!S21*(ET_w_o+ET_w_i)*(1/24)*RadSpec!W21))*1,".")</f>
        <v>32562365.011600692</v>
      </c>
      <c r="K21" s="22">
        <f>IFERROR((TR/(RadSpec!O21*EF_w*(1/365)*ED_com*RadSpec!T21*(ET_w_o+ET_w_i)*(1/24)*RadSpec!X21))*1,".")</f>
        <v>28547826.859485544</v>
      </c>
      <c r="L21" s="22">
        <f>IFERROR((TR/(RadSpec!K21*EF_w*(1/365)*ED_com*RadSpec!P21*(ET_w_o+ET_w_i)*(1/24)*RadSpec!U21))*1,".")</f>
        <v>36722314.726739116</v>
      </c>
      <c r="M21" s="22">
        <f>IFERROR(TR/(RadSpec!G21*EF_w*ED_com*(ET_w_o+ET_w_i)*(1/24)*IRA_w),".")</f>
        <v>0.57553956834532372</v>
      </c>
      <c r="N21" s="22">
        <f>IFERROR(TR/(RadSpec!J21*EF_w*(1/365)*ED_com*(ET_w_o+ET_w_i)*(1/24)*GSF_a),".")</f>
        <v>4439271537.6762133</v>
      </c>
      <c r="O21" s="22">
        <f t="shared" si="17"/>
        <v>0.57553956827070651</v>
      </c>
    </row>
    <row r="22" spans="1:15" x14ac:dyDescent="0.25">
      <c r="A22" s="23" t="s">
        <v>32</v>
      </c>
      <c r="B22" s="24" t="s">
        <v>289</v>
      </c>
      <c r="C22" s="2"/>
      <c r="D22" s="22">
        <f>IFERROR((TR/(RadSpec!I22*EF_w*ED_com*IRS_w*(1/1000)))*1,".")</f>
        <v>21.514051364797631</v>
      </c>
      <c r="E22" s="22">
        <f>IFERROR(IF(A22="H-3",(TR/(RadSpec!G22*EF_w*ED_com*(ET_w_o+ET_w_i)*(1/24)*IRA_w*(1/17)*1000))*1,(TR/(RadSpec!G22*EF_w*ED_com*(ET_w_o+ET_w_i)*(1/24)*IRA_w*(1/PEF_wind)*1000))*1),".")</f>
        <v>415.71756522235063</v>
      </c>
      <c r="F22" s="22">
        <f>IFERROR((TR/(RadSpec!F22*EF_w*(1/365)*ED_com*RadSpec!Q22*(ET_w_o+ET_w_i)*(1/24)*RadSpec!V22))*1,".")</f>
        <v>28.689747222458127</v>
      </c>
      <c r="G22" s="22">
        <f t="shared" ref="G22:G23" si="18">(IF(AND(ISNUMBER(D22),ISNUMBER(E22),ISNUMBER(F22)),1/((1/D22)+(1/E22)+(1/F22)),IF(AND(ISNUMBER(D22),ISNUMBER(E22),NOT(ISNUMBER(F22))), 1/((1/D22)+(1/E22)),IF(AND(ISNUMBER(D22),NOT(ISNUMBER(E22)),ISNUMBER(F22)),1/((1/D22)+(1/F22)),IF(AND(NOT(ISNUMBER(D22)),ISNUMBER(E22),ISNUMBER(F22)),1/((1/E22)+(1/F22)),IF(AND(ISNUMBER(D22),NOT(ISNUMBER(E22)),NOT(ISNUMBER(F22))),1/((1/D22)),IF(AND(NOT(ISNUMBER(D22)),NOT(ISNUMBER(E22)),ISNUMBER(F22)),1/((1/F22)),IF(AND(NOT(ISNUMBER(D22)),ISNUMBER(E22),NOT(ISNUMBER(F22))),1/((1/E22)),IF(AND(NOT(ISNUMBER(D22)),NOT(ISNUMBER(E22)),NOT(ISNUMBER(F22))),".")))))))))</f>
        <v>11.941384039502172</v>
      </c>
      <c r="H22" s="22">
        <f>IFERROR((TR/(RadSpec!F22*EF_w*(1/365)*ED_com*RadSpec!Q22*(ET_w_o+ET_w_i)*(1/24)*RadSpec!V22))*1,".")</f>
        <v>28.689747222458127</v>
      </c>
      <c r="I22" s="22">
        <f>IFERROR((TR/(RadSpec!M22*EF_w*(1/365)*ED_com*RadSpec!R22*(ET_w_o+ET_w_i)*(1/24)*RadSpec!W22))*1,".")</f>
        <v>39.403197997231089</v>
      </c>
      <c r="J22" s="22">
        <f>IFERROR((TR/(RadSpec!N22*EF_w*(1/365)*ED_com*RadSpec!S22*(ET_w_o+ET_w_i)*(1/24)*RadSpec!W22))*1,".")</f>
        <v>28.855264994895382</v>
      </c>
      <c r="K22" s="22">
        <f>IFERROR((TR/(RadSpec!O22*EF_w*(1/365)*ED_com*RadSpec!T22*(ET_w_o+ET_w_i)*(1/24)*RadSpec!X22))*1,".")</f>
        <v>28.744708424033714</v>
      </c>
      <c r="L22" s="22">
        <f>IFERROR((TR/(RadSpec!K22*EF_w*(1/365)*ED_com*RadSpec!P22*(ET_w_o+ET_w_i)*(1/24)*RadSpec!U22))*1,".")</f>
        <v>19.821318094247818</v>
      </c>
      <c r="M22" s="22">
        <f>IFERROR(TR/(RadSpec!G22*EF_w*ED_com*(ET_w_o+ET_w_i)*(1/24)*IRA_w),".")</f>
        <v>3.0582208800030585E-4</v>
      </c>
      <c r="N22" s="22">
        <f>IFERROR(TR/(RadSpec!J22*EF_w*(1/365)*ED_com*(ET_w_o+ET_w_i)*(1/24)*GSF_a),".")</f>
        <v>9496.6694919908859</v>
      </c>
      <c r="O22" s="22">
        <f t="shared" ref="O22:O23" si="19">IFERROR(IF(AND(ISNUMBER(M22),ISNUMBER(N22)),1/((1/M22)+(1/N22)),IF(AND(ISNUMBER(M22),NOT(ISNUMBER(N22))),1/((1/M22)),IF(AND(NOT(ISNUMBER(M22)),ISNUMBER(N22)),1/((1/N22)),IF(AND(NOT(ISNUMBER(M22)),NOT(ISNUMBER(N22))),".")))),".")</f>
        <v>3.0582207815189042E-4</v>
      </c>
    </row>
    <row r="23" spans="1:15" x14ac:dyDescent="0.25">
      <c r="A23" s="25" t="s">
        <v>33</v>
      </c>
      <c r="B23" s="24" t="s">
        <v>275</v>
      </c>
      <c r="C23" s="109"/>
      <c r="D23" s="22">
        <f>IFERROR((TR/(RadSpec!I23*EF_w*ED_com*IRS_w*(1/1000)))*1,".")</f>
        <v>5.4325682466385992</v>
      </c>
      <c r="E23" s="22">
        <f>IFERROR(IF(A23="H-3",(TR/(RadSpec!G23*EF_w*ED_com*(ET_w_o+ET_w_i)*(1/24)*IRA_w*(1/17)*1000))*1,(TR/(RadSpec!G23*EF_w*ED_com*(ET_w_o+ET_w_i)*(1/24)*IRA_w*(1/PEF_wind)*1000))*1),".")</f>
        <v>386.21855270985793</v>
      </c>
      <c r="F23" s="22">
        <f>IFERROR((TR/(RadSpec!F23*EF_w*(1/365)*ED_com*RadSpec!Q23*(ET_w_o+ET_w_i)*(1/24)*RadSpec!V23))*1,".")</f>
        <v>7.0115597183857936</v>
      </c>
      <c r="G23" s="22">
        <f t="shared" si="18"/>
        <v>3.0368753185596455</v>
      </c>
      <c r="H23" s="22">
        <f>IFERROR((TR/(RadSpec!F23*EF_w*(1/365)*ED_com*RadSpec!Q23*(ET_w_o+ET_w_i)*(1/24)*RadSpec!V23))*1,".")</f>
        <v>7.0115597183857936</v>
      </c>
      <c r="I23" s="22">
        <f>IFERROR((TR/(RadSpec!M23*EF_w*(1/365)*ED_com*RadSpec!R23*(ET_w_o+ET_w_i)*(1/24)*RadSpec!W23))*1,".")</f>
        <v>27.663602133749265</v>
      </c>
      <c r="J23" s="22">
        <f>IFERROR((TR/(RadSpec!N23*EF_w*(1/365)*ED_com*RadSpec!S23*(ET_w_o+ET_w_i)*(1/24)*RadSpec!W23))*1,".")</f>
        <v>10.117827240286987</v>
      </c>
      <c r="K23" s="22">
        <f>IFERROR((TR/(RadSpec!O23*EF_w*(1/365)*ED_com*RadSpec!T23*(ET_w_o+ET_w_i)*(1/24)*RadSpec!X23))*1,".")</f>
        <v>7.2138162487238455</v>
      </c>
      <c r="L23" s="22">
        <f>IFERROR((TR/(RadSpec!K23*EF_w*(1/365)*ED_com*RadSpec!P23*(ET_w_o+ET_w_i)*(1/24)*RadSpec!U23))*1,".")</f>
        <v>28.046238873543174</v>
      </c>
      <c r="M23" s="22">
        <f>IFERROR(TR/(RadSpec!G23*EF_w*ED_com*(ET_w_o+ET_w_i)*(1/24)*IRA_w),".")</f>
        <v>2.8412117768228151E-4</v>
      </c>
      <c r="N23" s="22">
        <f>IFERROR(TR/(RadSpec!J23*EF_w*(1/365)*ED_com*(ET_w_o+ET_w_i)*(1/24)*GSF_a),".")</f>
        <v>6149.4827038301655</v>
      </c>
      <c r="O23" s="22">
        <f t="shared" si="19"/>
        <v>2.8412116455518716E-4</v>
      </c>
    </row>
    <row r="24" spans="1:15" x14ac:dyDescent="0.25">
      <c r="A24" s="23" t="s">
        <v>34</v>
      </c>
      <c r="B24" s="24" t="s">
        <v>289</v>
      </c>
      <c r="C24" s="109"/>
      <c r="D24" s="22" t="str">
        <f>IFERROR((TR/(RadSpec!I24*EF_w*ED_com*IRS_w*(1/1000)))*1,".")</f>
        <v>.</v>
      </c>
      <c r="E24" s="22" t="str">
        <f>IFERROR(IF(A24="H-3",(TR/(RadSpec!G24*EF_w*ED_com*(ET_w_o+ET_w_i)*(1/24)*IRA_w*(1/17)*1000))*1,(TR/(RadSpec!G24*EF_w*ED_com*(ET_w_o+ET_w_i)*(1/24)*IRA_w*(1/PEF_wind)*1000))*1),".")</f>
        <v>.</v>
      </c>
      <c r="F24" s="22">
        <f>IFERROR((TR/(RadSpec!F24*EF_w*(1/365)*ED_com*RadSpec!Q24*(ET_w_o+ET_w_i)*(1/24)*RadSpec!V24))*1,".")</f>
        <v>51.740475163260697</v>
      </c>
      <c r="G24" s="22">
        <f t="shared" ref="G24:G25" si="20">(IF(AND(ISNUMBER(D24),ISNUMBER(E24),ISNUMBER(F24)),1/((1/D24)+(1/E24)+(1/F24)),IF(AND(ISNUMBER(D24),ISNUMBER(E24),NOT(ISNUMBER(F24))), 1/((1/D24)+(1/E24)),IF(AND(ISNUMBER(D24),NOT(ISNUMBER(E24)),ISNUMBER(F24)),1/((1/D24)+(1/F24)),IF(AND(NOT(ISNUMBER(D24)),ISNUMBER(E24),ISNUMBER(F24)),1/((1/E24)+(1/F24)),IF(AND(ISNUMBER(D24),NOT(ISNUMBER(E24)),NOT(ISNUMBER(F24))),1/((1/D24)),IF(AND(NOT(ISNUMBER(D24)),NOT(ISNUMBER(E24)),ISNUMBER(F24)),1/((1/F24)),IF(AND(NOT(ISNUMBER(D24)),ISNUMBER(E24),NOT(ISNUMBER(F24))),1/((1/E24)),IF(AND(NOT(ISNUMBER(D24)),NOT(ISNUMBER(E24)),NOT(ISNUMBER(F24))),".")))))))))</f>
        <v>51.740475163260705</v>
      </c>
      <c r="H24" s="22">
        <f>IFERROR((TR/(RadSpec!F24*EF_w*(1/365)*ED_com*RadSpec!Q24*(ET_w_o+ET_w_i)*(1/24)*RadSpec!V24))*1,".")</f>
        <v>51.740475163260697</v>
      </c>
      <c r="I24" s="22">
        <f>IFERROR((TR/(RadSpec!M24*EF_w*(1/365)*ED_com*RadSpec!R24*(ET_w_o+ET_w_i)*(1/24)*RadSpec!W24))*1,".")</f>
        <v>251.41986925847183</v>
      </c>
      <c r="J24" s="22">
        <f>IFERROR((TR/(RadSpec!N24*EF_w*(1/365)*ED_com*RadSpec!S24*(ET_w_o+ET_w_i)*(1/24)*RadSpec!W24))*1,".")</f>
        <v>89.313915460390476</v>
      </c>
      <c r="K24" s="22">
        <f>IFERROR((TR/(RadSpec!O24*EF_w*(1/365)*ED_com*RadSpec!T24*(ET_w_o+ET_w_i)*(1/24)*RadSpec!X24))*1,".")</f>
        <v>57.710529989790764</v>
      </c>
      <c r="L24" s="22">
        <f>IFERROR((TR/(RadSpec!K24*EF_w*(1/365)*ED_com*RadSpec!P24*(ET_w_o+ET_w_i)*(1/24)*RadSpec!U24))*1,".")</f>
        <v>257.37114575206857</v>
      </c>
      <c r="M24" s="22" t="str">
        <f>IFERROR(TR/(RadSpec!G24*EF_w*ED_com*(ET_w_o+ET_w_i)*(1/24)*IRA_w),".")</f>
        <v>.</v>
      </c>
      <c r="N24" s="22">
        <f>IFERROR(TR/(RadSpec!J24*EF_w*(1/365)*ED_com*(ET_w_o+ET_w_i)*(1/24)*GSF_a),".")</f>
        <v>54962.409514086437</v>
      </c>
      <c r="O24" s="22">
        <f t="shared" ref="O24:O25" si="21">IFERROR(IF(AND(ISNUMBER(M24),ISNUMBER(N24)),1/((1/M24)+(1/N24)),IF(AND(ISNUMBER(M24),NOT(ISNUMBER(N24))),1/((1/M24)),IF(AND(NOT(ISNUMBER(M24)),ISNUMBER(N24)),1/((1/N24)),IF(AND(NOT(ISNUMBER(M24)),NOT(ISNUMBER(N24))),".")))),".")</f>
        <v>54962.409514086445</v>
      </c>
    </row>
    <row r="25" spans="1:15" x14ac:dyDescent="0.25">
      <c r="A25" s="25" t="s">
        <v>35</v>
      </c>
      <c r="B25" s="24" t="s">
        <v>275</v>
      </c>
      <c r="C25" s="109"/>
      <c r="D25" s="22" t="str">
        <f>IFERROR((TR/(RadSpec!I25*EF_w*ED_com*IRS_w*(1/1000)))*1,".")</f>
        <v>.</v>
      </c>
      <c r="E25" s="22">
        <f>IFERROR(IF(A25="H-3",(TR/(RadSpec!G25*EF_w*ED_com*(ET_w_o+ET_w_i)*(1/24)*IRA_w*(1/17)*1000))*1,(TR/(RadSpec!G25*EF_w*ED_com*(ET_w_o+ET_w_i)*(1/24)*IRA_w*(1/PEF_wind)*1000))*1),".")</f>
        <v>4769629.7318646796</v>
      </c>
      <c r="F25" s="22">
        <f>IFERROR((TR/(RadSpec!F25*EF_w*(1/365)*ED_com*RadSpec!Q25*(ET_w_o+ET_w_i)*(1/24)*RadSpec!V25))*1,".")</f>
        <v>103.48095032652139</v>
      </c>
      <c r="G25" s="22">
        <f t="shared" si="20"/>
        <v>103.47870527284591</v>
      </c>
      <c r="H25" s="22">
        <f>IFERROR((TR/(RadSpec!F25*EF_w*(1/365)*ED_com*RadSpec!Q25*(ET_w_o+ET_w_i)*(1/24)*RadSpec!V25))*1,".")</f>
        <v>103.48095032652139</v>
      </c>
      <c r="I25" s="22">
        <f>IFERROR((TR/(RadSpec!M25*EF_w*(1/365)*ED_com*RadSpec!R25*(ET_w_o+ET_w_i)*(1/24)*RadSpec!W25))*1,".")</f>
        <v>490.99272897073286</v>
      </c>
      <c r="J25" s="22">
        <f>IFERROR((TR/(RadSpec!N25*EF_w*(1/365)*ED_com*RadSpec!S25*(ET_w_o+ET_w_i)*(1/24)*RadSpec!W25))*1,".")</f>
        <v>173.98814700076068</v>
      </c>
      <c r="K25" s="22">
        <f>IFERROR((TR/(RadSpec!O25*EF_w*(1/365)*ED_com*RadSpec!T25*(ET_w_o+ET_w_i)*(1/24)*RadSpec!X25))*1,".")</f>
        <v>113.67225604049698</v>
      </c>
      <c r="L25" s="22">
        <f>IFERROR((TR/(RadSpec!K25*EF_w*(1/365)*ED_com*RadSpec!P25*(ET_w_o+ET_w_i)*(1/24)*RadSpec!U25))*1,".")</f>
        <v>500.15792657818673</v>
      </c>
      <c r="M25" s="22">
        <f>IFERROR(TR/(RadSpec!G25*EF_w*ED_com*(ET_w_o+ET_w_i)*(1/24)*IRA_w),".")</f>
        <v>3.5087719298245617</v>
      </c>
      <c r="N25" s="22">
        <f>IFERROR(TR/(RadSpec!J25*EF_w*(1/365)*ED_com*(ET_w_o+ET_w_i)*(1/24)*GSF_a),".")</f>
        <v>107947.75393773813</v>
      </c>
      <c r="O25" s="22">
        <f t="shared" si="21"/>
        <v>3.5086578831691866</v>
      </c>
    </row>
    <row r="26" spans="1:15" x14ac:dyDescent="0.25">
      <c r="A26" s="23" t="s">
        <v>36</v>
      </c>
      <c r="B26" s="24" t="s">
        <v>289</v>
      </c>
      <c r="C26" s="2"/>
      <c r="D26" s="22">
        <f>IFERROR((TR/(RadSpec!I26*EF_w*ED_com*IRS_w*(1/1000)))*1,".")</f>
        <v>8.1284291810607616</v>
      </c>
      <c r="E26" s="22">
        <f>IFERROR(IF(A26="H-3",(TR/(RadSpec!G26*EF_w*ED_com*(ET_w_o+ET_w_i)*(1/24)*IRA_w*(1/17)*1000))*1,(TR/(RadSpec!G26*EF_w*ED_com*(ET_w_o+ET_w_i)*(1/24)*IRA_w*(1/PEF_wind)*1000))*1),".")</f>
        <v>62.269559028008885</v>
      </c>
      <c r="F26" s="22">
        <f>IFERROR((TR/(RadSpec!F26*EF_w*(1/365)*ED_com*RadSpec!Q26*(ET_w_o+ET_w_i)*(1/24)*RadSpec!V26))*1,".")</f>
        <v>0.78149676027841664</v>
      </c>
      <c r="G26" s="22">
        <f t="shared" ref="G26:G29" si="22">(IF(AND(ISNUMBER(D26),ISNUMBER(E26),ISNUMBER(F26)),1/((1/D26)+(1/E26)+(1/F26)),IF(AND(ISNUMBER(D26),ISNUMBER(E26),NOT(ISNUMBER(F26))), 1/((1/D26)+(1/E26)),IF(AND(ISNUMBER(D26),NOT(ISNUMBER(E26)),ISNUMBER(F26)),1/((1/D26)+(1/F26)),IF(AND(NOT(ISNUMBER(D26)),ISNUMBER(E26),ISNUMBER(F26)),1/((1/E26)+(1/F26)),IF(AND(ISNUMBER(D26),NOT(ISNUMBER(E26)),NOT(ISNUMBER(F26))),1/((1/D26)),IF(AND(NOT(ISNUMBER(D26)),NOT(ISNUMBER(E26)),ISNUMBER(F26)),1/((1/F26)),IF(AND(NOT(ISNUMBER(D26)),ISNUMBER(E26),NOT(ISNUMBER(F26))),1/((1/E26)),IF(AND(NOT(ISNUMBER(D26)),NOT(ISNUMBER(E26)),NOT(ISNUMBER(F26))),".")))))))))</f>
        <v>0.7048805699645474</v>
      </c>
      <c r="H26" s="22">
        <f>IFERROR((TR/(RadSpec!F26*EF_w*(1/365)*ED_com*RadSpec!Q26*(ET_w_o+ET_w_i)*(1/24)*RadSpec!V26))*1,".")</f>
        <v>0.78149676027841664</v>
      </c>
      <c r="I26" s="22">
        <f>IFERROR((TR/(RadSpec!M26*EF_w*(1/365)*ED_com*RadSpec!R26*(ET_w_o+ET_w_i)*(1/24)*RadSpec!W26))*1,".")</f>
        <v>2.5905969953980663</v>
      </c>
      <c r="J26" s="22">
        <f>IFERROR((TR/(RadSpec!N26*EF_w*(1/365)*ED_com*RadSpec!S26*(ET_w_o+ET_w_i)*(1/24)*RadSpec!W26))*1,".")</f>
        <v>1.027018329729336</v>
      </c>
      <c r="K26" s="22">
        <f>IFERROR((TR/(RadSpec!O26*EF_w*(1/365)*ED_com*RadSpec!T26*(ET_w_o+ET_w_i)*(1/24)*RadSpec!X26))*1,".")</f>
        <v>0.78972304196555798</v>
      </c>
      <c r="L26" s="22">
        <f>IFERROR((TR/(RadSpec!K26*EF_w*(1/365)*ED_com*RadSpec!P26*(ET_w_o+ET_w_i)*(1/24)*RadSpec!U26))*1,".")</f>
        <v>2.476029339495974</v>
      </c>
      <c r="M26" s="22">
        <f>IFERROR(TR/(RadSpec!G26*EF_w*ED_com*(ET_w_o+ET_w_i)*(1/24)*IRA_w),".")</f>
        <v>4.5808520384791572E-5</v>
      </c>
      <c r="N26" s="22">
        <f>IFERROR(TR/(RadSpec!J26*EF_w*(1/365)*ED_com*(ET_w_o+ET_w_i)*(1/24)*GSF_a),".")</f>
        <v>583.84193763990652</v>
      </c>
      <c r="O26" s="22">
        <f t="shared" ref="O26:O29" si="23">IFERROR(IF(AND(ISNUMBER(M26),ISNUMBER(N26)),1/((1/M26)+(1/N26)),IF(AND(ISNUMBER(M26),NOT(ISNUMBER(N26))),1/((1/M26)),IF(AND(NOT(ISNUMBER(M26)),ISNUMBER(N26)),1/((1/N26)),IF(AND(NOT(ISNUMBER(M26)),NOT(ISNUMBER(N26))),".")))),".")</f>
        <v>4.5808516790633222E-5</v>
      </c>
    </row>
    <row r="27" spans="1:15" x14ac:dyDescent="0.25">
      <c r="A27" s="23" t="s">
        <v>37</v>
      </c>
      <c r="B27" s="24" t="s">
        <v>289</v>
      </c>
      <c r="C27" s="109"/>
      <c r="D27" s="22" t="str">
        <f>IFERROR((TR/(RadSpec!I27*EF_w*ED_com*IRS_w*(1/1000)))*1,".")</f>
        <v>.</v>
      </c>
      <c r="E27" s="22" t="str">
        <f>IFERROR(IF(A27="H-3",(TR/(RadSpec!G27*EF_w*ED_com*(ET_w_o+ET_w_i)*(1/24)*IRA_w*(1/17)*1000))*1,(TR/(RadSpec!G27*EF_w*ED_com*(ET_w_o+ET_w_i)*(1/24)*IRA_w*(1/PEF_wind)*1000))*1),".")</f>
        <v>.</v>
      </c>
      <c r="F27" s="22">
        <f>IFERROR((TR/(RadSpec!F27*EF_w*(1/365)*ED_com*RadSpec!Q27*(ET_w_o+ET_w_i)*(1/24)*RadSpec!V27))*1,".")</f>
        <v>28.689747222458127</v>
      </c>
      <c r="G27" s="22">
        <f t="shared" si="22"/>
        <v>28.689747222458127</v>
      </c>
      <c r="H27" s="22">
        <f>IFERROR((TR/(RadSpec!F27*EF_w*(1/365)*ED_com*RadSpec!Q27*(ET_w_o+ET_w_i)*(1/24)*RadSpec!V27))*1,".")</f>
        <v>28.689747222458127</v>
      </c>
      <c r="I27" s="22">
        <f>IFERROR((TR/(RadSpec!M27*EF_w*(1/365)*ED_com*RadSpec!R27*(ET_w_o+ET_w_i)*(1/24)*RadSpec!W27))*1,".")</f>
        <v>84.486136246315326</v>
      </c>
      <c r="J27" s="22">
        <f>IFERROR((TR/(RadSpec!N27*EF_w*(1/365)*ED_com*RadSpec!S27*(ET_w_o+ET_w_i)*(1/24)*RadSpec!W27))*1,".")</f>
        <v>39.73712340398729</v>
      </c>
      <c r="K27" s="22">
        <f>IFERROR((TR/(RadSpec!O27*EF_w*(1/365)*ED_com*RadSpec!T27*(ET_w_o+ET_w_i)*(1/24)*RadSpec!X27))*1,".")</f>
        <v>29.889915930967337</v>
      </c>
      <c r="L27" s="22">
        <f>IFERROR((TR/(RadSpec!K27*EF_w*(1/365)*ED_com*RadSpec!P27*(ET_w_o+ET_w_i)*(1/24)*RadSpec!U27))*1,".")</f>
        <v>20.442422067228339</v>
      </c>
      <c r="M27" s="22" t="str">
        <f>IFERROR(TR/(RadSpec!G27*EF_w*ED_com*(ET_w_o+ET_w_i)*(1/24)*IRA_w),".")</f>
        <v>.</v>
      </c>
      <c r="N27" s="22">
        <f>IFERROR(TR/(RadSpec!J27*EF_w*(1/365)*ED_com*(ET_w_o+ET_w_i)*(1/24)*GSF_a),".")</f>
        <v>18639.425835211921</v>
      </c>
      <c r="O27" s="22">
        <f t="shared" si="23"/>
        <v>18639.425835211921</v>
      </c>
    </row>
    <row r="28" spans="1:15" x14ac:dyDescent="0.25">
      <c r="A28" s="23" t="s">
        <v>38</v>
      </c>
      <c r="B28" s="24" t="s">
        <v>289</v>
      </c>
      <c r="C28" s="2"/>
      <c r="D28" s="22" t="str">
        <f>IFERROR((TR/(RadSpec!I28*EF_w*ED_com*IRS_w*(1/1000)))*1,".")</f>
        <v>.</v>
      </c>
      <c r="E28" s="22" t="str">
        <f>IFERROR(IF(A28="H-3",(TR/(RadSpec!G28*EF_w*ED_com*(ET_w_o+ET_w_i)*(1/24)*IRA_w*(1/17)*1000))*1,(TR/(RadSpec!G28*EF_w*ED_com*(ET_w_o+ET_w_i)*(1/24)*IRA_w*(1/PEF_wind)*1000))*1),".")</f>
        <v>.</v>
      </c>
      <c r="F28" s="22">
        <f>IFERROR((TR/(RadSpec!F28*EF_w*(1/365)*ED_com*RadSpec!Q28*(ET_w_o+ET_w_i)*(1/24)*RadSpec!V28))*1,".")</f>
        <v>1.6973685291114933E-2</v>
      </c>
      <c r="G28" s="22">
        <f t="shared" si="22"/>
        <v>1.6973685291114933E-2</v>
      </c>
      <c r="H28" s="22">
        <f>IFERROR((TR/(RadSpec!F28*EF_w*(1/365)*ED_com*RadSpec!Q28*(ET_w_o+ET_w_i)*(1/24)*RadSpec!V28))*1,".")</f>
        <v>1.6973685291114933E-2</v>
      </c>
      <c r="I28" s="22">
        <f>IFERROR((TR/(RadSpec!M28*EF_w*(1/365)*ED_com*RadSpec!R28*(ET_w_o+ET_w_i)*(1/24)*RadSpec!W28))*1,".")</f>
        <v>9.1940795326872549E-2</v>
      </c>
      <c r="J28" s="22">
        <f>IFERROR((TR/(RadSpec!N28*EF_w*(1/365)*ED_com*RadSpec!S28*(ET_w_o+ET_w_i)*(1/24)*RadSpec!W28))*1,".")</f>
        <v>3.2006693253723552E-2</v>
      </c>
      <c r="K28" s="22">
        <f>IFERROR((TR/(RadSpec!O28*EF_w*(1/365)*ED_com*RadSpec!T28*(ET_w_o+ET_w_i)*(1/24)*RadSpec!X28))*1,".")</f>
        <v>2.0113589540677747E-2</v>
      </c>
      <c r="L28" s="22">
        <f>IFERROR((TR/(RadSpec!K28*EF_w*(1/365)*ED_com*RadSpec!P28*(ET_w_o+ET_w_i)*(1/24)*RadSpec!U28))*1,".")</f>
        <v>9.4369420109091828E-2</v>
      </c>
      <c r="M28" s="22" t="str">
        <f>IFERROR(TR/(RadSpec!G28*EF_w*ED_com*(ET_w_o+ET_w_i)*(1/24)*IRA_w),".")</f>
        <v>.</v>
      </c>
      <c r="N28" s="22">
        <f>IFERROR(TR/(RadSpec!J28*EF_w*(1/365)*ED_com*(ET_w_o+ET_w_i)*(1/24)*GSF_a),".")</f>
        <v>18.298460728470243</v>
      </c>
      <c r="O28" s="22">
        <f t="shared" si="23"/>
        <v>18.298460728470243</v>
      </c>
    </row>
    <row r="29" spans="1:15" x14ac:dyDescent="0.25">
      <c r="A29" s="23" t="s">
        <v>39</v>
      </c>
      <c r="B29" s="24" t="s">
        <v>289</v>
      </c>
      <c r="C29" s="109"/>
      <c r="D29" s="22" t="str">
        <f>IFERROR((TR/(RadSpec!I29*EF_w*ED_com*IRS_w*(1/1000)))*1,".")</f>
        <v>.</v>
      </c>
      <c r="E29" s="22" t="str">
        <f>IFERROR(IF(A29="H-3",(TR/(RadSpec!G29*EF_w*ED_com*(ET_w_o+ET_w_i)*(1/24)*IRA_w*(1/17)*1000))*1,(TR/(RadSpec!G29*EF_w*ED_com*(ET_w_o+ET_w_i)*(1/24)*IRA_w*(1/PEF_wind)*1000))*1),".")</f>
        <v>.</v>
      </c>
      <c r="F29" s="22">
        <f>IFERROR((TR/(RadSpec!F29*EF_w*(1/365)*ED_com*RadSpec!Q29*(ET_w_o+ET_w_i)*(1/24)*RadSpec!V29))*1,".")</f>
        <v>1.3047598084648346E-2</v>
      </c>
      <c r="G29" s="22">
        <f t="shared" si="22"/>
        <v>1.3047598084648346E-2</v>
      </c>
      <c r="H29" s="22">
        <f>IFERROR((TR/(RadSpec!F29*EF_w*(1/365)*ED_com*RadSpec!Q29*(ET_w_o+ET_w_i)*(1/24)*RadSpec!V29))*1,".")</f>
        <v>1.3047598084648346E-2</v>
      </c>
      <c r="I29" s="22">
        <f>IFERROR((TR/(RadSpec!M29*EF_w*(1/365)*ED_com*RadSpec!R29*(ET_w_o+ET_w_i)*(1/24)*RadSpec!W29))*1,".")</f>
        <v>7.0510985889781955E-2</v>
      </c>
      <c r="J29" s="22">
        <f>IFERROR((TR/(RadSpec!N29*EF_w*(1/365)*ED_com*RadSpec!S29*(ET_w_o+ET_w_i)*(1/24)*RadSpec!W29))*1,".")</f>
        <v>2.4614071189871394E-2</v>
      </c>
      <c r="K29" s="22">
        <f>IFERROR((TR/(RadSpec!O29*EF_w*(1/365)*ED_com*RadSpec!T29*(ET_w_o+ET_w_i)*(1/24)*RadSpec!X29))*1,".")</f>
        <v>1.5421107705391162E-2</v>
      </c>
      <c r="L29" s="22">
        <f>IFERROR((TR/(RadSpec!K29*EF_w*(1/365)*ED_com*RadSpec!P29*(ET_w_o+ET_w_i)*(1/24)*RadSpec!U29))*1,".")</f>
        <v>7.2838532996823302E-2</v>
      </c>
      <c r="M29" s="22" t="str">
        <f>IFERROR(TR/(RadSpec!G29*EF_w*ED_com*(ET_w_o+ET_w_i)*(1/24)*IRA_w),".")</f>
        <v>.</v>
      </c>
      <c r="N29" s="22">
        <f>IFERROR(TR/(RadSpec!J29*EF_w*(1/365)*ED_com*(ET_w_o+ET_w_i)*(1/24)*GSF_a),".")</f>
        <v>14.155413016363772</v>
      </c>
      <c r="O29" s="22">
        <f t="shared" si="23"/>
        <v>14.155413016363774</v>
      </c>
    </row>
    <row r="30" spans="1:15" x14ac:dyDescent="0.25">
      <c r="A30" s="23" t="s">
        <v>40</v>
      </c>
      <c r="B30" s="24" t="s">
        <v>289</v>
      </c>
      <c r="C30" s="2"/>
      <c r="D30" s="22">
        <f>IFERROR((TR/(RadSpec!I30*EF_w*ED_com*IRS_w*(1/1000)))*1,".")</f>
        <v>30.66896683917961</v>
      </c>
      <c r="E30" s="22">
        <f>IFERROR(IF(A30="H-3",(TR/(RadSpec!G30*EF_w*ED_com*(ET_w_o+ET_w_i)*(1/24)*IRA_w*(1/17)*1000))*1,(TR/(RadSpec!G30*EF_w*ED_com*(ET_w_o+ET_w_i)*(1/24)*IRA_w*(1/PEF_wind)*1000))*1),".")</f>
        <v>384.19910929699597</v>
      </c>
      <c r="F30" s="22">
        <f>IFERROR((TR/(RadSpec!F30*EF_w*(1/365)*ED_com*RadSpec!Q30*(ET_w_o+ET_w_i)*(1/24)*RadSpec!V30))*1,".")</f>
        <v>246.38321506314611</v>
      </c>
      <c r="G30" s="22">
        <f t="shared" ref="G30" si="24">(IF(AND(ISNUMBER(D30),ISNUMBER(E30),ISNUMBER(F30)),1/((1/D30)+(1/E30)+(1/F30)),IF(AND(ISNUMBER(D30),ISNUMBER(E30),NOT(ISNUMBER(F30))), 1/((1/D30)+(1/E30)),IF(AND(ISNUMBER(D30),NOT(ISNUMBER(E30)),ISNUMBER(F30)),1/((1/D30)+(1/F30)),IF(AND(NOT(ISNUMBER(D30)),ISNUMBER(E30),ISNUMBER(F30)),1/((1/E30)+(1/F30)),IF(AND(ISNUMBER(D30),NOT(ISNUMBER(E30)),NOT(ISNUMBER(F30))),1/((1/D30)),IF(AND(NOT(ISNUMBER(D30)),NOT(ISNUMBER(E30)),ISNUMBER(F30)),1/((1/F30)),IF(AND(NOT(ISNUMBER(D30)),ISNUMBER(E30),NOT(ISNUMBER(F30))),1/((1/E30)),IF(AND(NOT(ISNUMBER(D30)),NOT(ISNUMBER(E30)),NOT(ISNUMBER(F30))),".")))))))))</f>
        <v>25.46616767836445</v>
      </c>
      <c r="H30" s="22">
        <f>IFERROR((TR/(RadSpec!F30*EF_w*(1/365)*ED_com*RadSpec!Q30*(ET_w_o+ET_w_i)*(1/24)*RadSpec!V30))*1,".")</f>
        <v>246.38321506314611</v>
      </c>
      <c r="I30" s="22">
        <f>IFERROR((TR/(RadSpec!M30*EF_w*(1/365)*ED_com*RadSpec!R30*(ET_w_o+ET_w_i)*(1/24)*RadSpec!W30))*1,".")</f>
        <v>844.86136246315323</v>
      </c>
      <c r="J30" s="22">
        <f>IFERROR((TR/(RadSpec!N30*EF_w*(1/365)*ED_com*RadSpec!S30*(ET_w_o+ET_w_i)*(1/24)*RadSpec!W30))*1,".")</f>
        <v>346.05022595354245</v>
      </c>
      <c r="K30" s="22">
        <f>IFERROR((TR/(RadSpec!O30*EF_w*(1/365)*ED_com*RadSpec!T30*(ET_w_o+ET_w_i)*(1/24)*RadSpec!X30))*1,".")</f>
        <v>254.74936837598645</v>
      </c>
      <c r="L30" s="22">
        <f>IFERROR((TR/(RadSpec!K30*EF_w*(1/365)*ED_com*RadSpec!P30*(ET_w_o+ET_w_i)*(1/24)*RadSpec!U30))*1,".")</f>
        <v>490.35090840998691</v>
      </c>
      <c r="M30" s="22">
        <f>IFERROR(TR/(RadSpec!G30*EF_w*ED_com*(ET_w_o+ET_w_i)*(1/24)*IRA_w),".")</f>
        <v>2.8263557675322379E-4</v>
      </c>
      <c r="N30" s="22">
        <f>IFERROR(TR/(RadSpec!J30*EF_w*(1/365)*ED_com*(ET_w_o+ET_w_i)*(1/24)*GSF_a),".")</f>
        <v>186858.503080269</v>
      </c>
      <c r="O30" s="22">
        <f t="shared" ref="O30" si="25">IFERROR(IF(AND(ISNUMBER(M30),ISNUMBER(N30)),1/((1/M30)+(1/N30)),IF(AND(ISNUMBER(M30),NOT(ISNUMBER(N30))),1/((1/M30)),IF(AND(NOT(ISNUMBER(M30)),ISNUMBER(N30)),1/((1/N30)),IF(AND(NOT(ISNUMBER(M30)),NOT(ISNUMBER(N30))),".")))),".")</f>
        <v>2.8263557632571918E-4</v>
      </c>
    </row>
    <row r="31" spans="1:15" x14ac:dyDescent="0.25">
      <c r="A31" s="26" t="s">
        <v>13</v>
      </c>
      <c r="B31" s="26" t="s">
        <v>289</v>
      </c>
      <c r="C31" s="110"/>
      <c r="D31" s="27">
        <f>1/SUM(1/D32,1/D33,1/D34,1/D35,1/D36,1/D37,1/D38,1/D41,1/D44)</f>
        <v>2.8844850074677262</v>
      </c>
      <c r="E31" s="27">
        <f>1/SUM(1/E32,1/E33,1/E34,1/E35,1/E36,1/E37,1/E38,1/E41,1/E44)</f>
        <v>33.546202896296968</v>
      </c>
      <c r="F31" s="27">
        <f>1/SUM(1/F32,1/F33,1/F34,1/F35,1/F36,1/F37,1/F38,1/F39,1/F40,1/F41,1/F42,1/F43,1/F44)</f>
        <v>8.6733697962980111E-2</v>
      </c>
      <c r="G31" s="28">
        <f>1/SUM(1/G32,1/G33,1/G34,1/G35,1/G36,1/G37,1/G38,1/G39,1/G40,1/G41,1/G42,1/G43,1/G44)</f>
        <v>8.399101010373769E-2</v>
      </c>
      <c r="H31" s="27">
        <f t="shared" ref="H31:O31" si="26">1/SUM(1/H32,1/H33,1/H34,1/H35,1/H36,1/H37,1/H38,1/H39,1/H40,1/H41,1/H42,1/H43,1/H44)</f>
        <v>8.6733697962980111E-2</v>
      </c>
      <c r="I31" s="27">
        <f t="shared" si="26"/>
        <v>0.35827692870515121</v>
      </c>
      <c r="J31" s="27">
        <f t="shared" si="26"/>
        <v>0.13352951760589185</v>
      </c>
      <c r="K31" s="27">
        <f t="shared" si="26"/>
        <v>9.2699655088144137E-2</v>
      </c>
      <c r="L31" s="27">
        <f t="shared" si="26"/>
        <v>0.34714193393207909</v>
      </c>
      <c r="M31" s="27">
        <f>1/SUM(1/M32,1/M33,1/M34,1/M35,1/M36,1/M37,1/M38,1/M41,1/M44)</f>
        <v>2.4678220677878321E-5</v>
      </c>
      <c r="N31" s="27">
        <f t="shared" si="26"/>
        <v>79.283653658822047</v>
      </c>
      <c r="O31" s="28">
        <f t="shared" si="26"/>
        <v>2.4678212996416152E-5</v>
      </c>
    </row>
    <row r="32" spans="1:15" x14ac:dyDescent="0.25">
      <c r="A32" s="29" t="s">
        <v>290</v>
      </c>
      <c r="B32" s="24">
        <v>1</v>
      </c>
      <c r="C32" s="2"/>
      <c r="D32" s="30">
        <f>IFERROR(D3/$B32,0)</f>
        <v>17.578554163920018</v>
      </c>
      <c r="E32" s="30">
        <f>IFERROR(E3/$B32,0)</f>
        <v>288.14933197274695</v>
      </c>
      <c r="F32" s="30">
        <f>IFERROR(F3/$B32,0)</f>
        <v>6.3311129946605913</v>
      </c>
      <c r="G32" s="30">
        <f>IF(AND(D32&lt;&gt;0,E32&lt;&gt;0,F32&lt;&gt;0),1/((1/D32)+(1/E32)+(1/F32)),IF(AND(D32&lt;&gt;0,E32&lt;&gt;0,F32=0), 1/((1/D32)+(1/E32)),IF(AND(D32&lt;&gt;0,E32=0,F32&lt;&gt;0),1/((1/D32)+(1/F32)),IF(AND(D32=0,E32&lt;&gt;0,F32&lt;&gt;0),1/((1/E32)+(1/F32)),IF(AND(D32&lt;&gt;0,E32=0,F32=0),1/((1/D32)),IF(AND(D32=0,E32&lt;&gt;0,F32=0),1/((1/E32)),IF(AND(D32=0,E32=0,F32&lt;&gt;0),1/((1/F32)),IF(AND(D32=0,E32=0,F32=0),0))))))))</f>
        <v>4.580683463472206</v>
      </c>
      <c r="H32" s="30">
        <f t="shared" ref="H32:N32" si="27">IFERROR(H3/$B32,0)</f>
        <v>6.3311129946605913</v>
      </c>
      <c r="I32" s="30">
        <f t="shared" si="27"/>
        <v>12.73746841879932</v>
      </c>
      <c r="J32" s="30">
        <f t="shared" si="27"/>
        <v>6.7956240024210128</v>
      </c>
      <c r="K32" s="30">
        <f t="shared" si="27"/>
        <v>6.3311129946605913</v>
      </c>
      <c r="L32" s="30">
        <f t="shared" si="27"/>
        <v>9.3779611233410005</v>
      </c>
      <c r="M32" s="30">
        <f t="shared" si="27"/>
        <v>2.1197668256491784E-4</v>
      </c>
      <c r="N32" s="30">
        <f t="shared" si="27"/>
        <v>3019.0619310554525</v>
      </c>
      <c r="O32" s="30">
        <f>IFERROR(IF(AND(M32&lt;&gt;0,N32&lt;&gt;0),1/((1/M32)+(1/N32)),IF(AND(M32&lt;&gt;0,N32=0),1/((1/M32)),IF(AND(M32=0,N32&lt;&gt;0),1/((1/N32)),IF(AND(M32=0,N32=0),0)))),0)</f>
        <v>2.1197666768145014E-4</v>
      </c>
    </row>
    <row r="33" spans="1:15" x14ac:dyDescent="0.25">
      <c r="A33" s="29" t="s">
        <v>291</v>
      </c>
      <c r="B33" s="24">
        <v>1</v>
      </c>
      <c r="C33" s="2"/>
      <c r="D33" s="30">
        <f t="shared" ref="D33:F34" si="28">IFERROR(D13/$B33,0)</f>
        <v>34.049797829325385</v>
      </c>
      <c r="E33" s="30">
        <f t="shared" si="28"/>
        <v>379.24170143509923</v>
      </c>
      <c r="F33" s="30">
        <f t="shared" si="28"/>
        <v>3.3870739948861406</v>
      </c>
      <c r="G33" s="30">
        <f>IF(AND(D33&lt;&gt;0,E33&lt;&gt;0,F33&lt;&gt;0),1/((1/D33)+(1/E33)+(1/F33)),IF(AND(D33&lt;&gt;0,E33&lt;&gt;0,F33=0), 1/((1/D33)+(1/E33)),IF(AND(D33&lt;&gt;0,E33=0,F33&lt;&gt;0),1/((1/D33)+(1/F33)),IF(AND(D33=0,E33&lt;&gt;0,F33&lt;&gt;0),1/((1/E33)+(1/F33)),IF(AND(D33&lt;&gt;0,E33=0,F33=0),1/((1/D33)),IF(AND(D33=0,E33&lt;&gt;0,F33=0),1/((1/E33)),IF(AND(D33=0,E33=0,F33&lt;&gt;0),1/((1/F33)),IF(AND(D33=0,E33=0,F33=0),0))))))))</f>
        <v>3.0558081791410063</v>
      </c>
      <c r="H33" s="30">
        <f t="shared" ref="H33:N34" si="29">IFERROR(H13/$B33,0)</f>
        <v>3.3870739948861406</v>
      </c>
      <c r="I33" s="30">
        <f t="shared" si="29"/>
        <v>10.097400940340243</v>
      </c>
      <c r="J33" s="30">
        <f t="shared" si="29"/>
        <v>4.2434213227787341</v>
      </c>
      <c r="K33" s="30">
        <f t="shared" si="29"/>
        <v>3.4024348746815418</v>
      </c>
      <c r="L33" s="30">
        <f t="shared" si="29"/>
        <v>8.3359654429697763</v>
      </c>
      <c r="M33" s="30">
        <f t="shared" si="29"/>
        <v>2.7898866608544026E-4</v>
      </c>
      <c r="N33" s="30">
        <f t="shared" si="29"/>
        <v>2283.8261487588434</v>
      </c>
      <c r="O33" s="30">
        <f t="shared" ref="O33:O44" si="30">IFERROR(IF(AND(M33&lt;&gt;0,N33&lt;&gt;0),1/((1/M33)+(1/N33)),IF(AND(M33&lt;&gt;0,N33=0),1/((1/M33)),IF(AND(M33=0,N33&lt;&gt;0),1/((1/N33)),IF(AND(M33=0,N33=0),0)))),0)</f>
        <v>2.7898863200462093E-4</v>
      </c>
    </row>
    <row r="34" spans="1:15" x14ac:dyDescent="0.25">
      <c r="A34" s="29" t="s">
        <v>292</v>
      </c>
      <c r="B34" s="24">
        <v>1</v>
      </c>
      <c r="C34" s="2"/>
      <c r="D34" s="30">
        <f t="shared" si="28"/>
        <v>619.53070549059089</v>
      </c>
      <c r="E34" s="30">
        <f t="shared" si="28"/>
        <v>711652.10317724443</v>
      </c>
      <c r="F34" s="30">
        <f t="shared" si="28"/>
        <v>0.21809211914746515</v>
      </c>
      <c r="G34" s="30">
        <f>IF(AND(D34&lt;&gt;0,E34&lt;&gt;0,F34&lt;&gt;0),1/((1/D34)+(1/E34)+(1/F34)),IF(AND(D34&lt;&gt;0,E34&lt;&gt;0,F34=0), 1/((1/D34)+(1/E34)),IF(AND(D34&lt;&gt;0,E34=0,F34&lt;&gt;0),1/((1/D34)+(1/F34)),IF(AND(D34=0,E34&lt;&gt;0,F34&lt;&gt;0),1/((1/E34)+(1/F34)),IF(AND(D34&lt;&gt;0,E34=0,F34=0),1/((1/D34)),IF(AND(D34=0,E34&lt;&gt;0,F34=0),1/((1/E34)),IF(AND(D34=0,E34=0,F34&lt;&gt;0),1/((1/F34)),IF(AND(D34=0,E34=0,F34=0),0))))))))</f>
        <v>0.21801530485568177</v>
      </c>
      <c r="H34" s="30">
        <f t="shared" si="29"/>
        <v>0.21809211914746515</v>
      </c>
      <c r="I34" s="30">
        <f t="shared" si="29"/>
        <v>0.91940795326872549</v>
      </c>
      <c r="J34" s="30">
        <f t="shared" si="29"/>
        <v>0.33492718297646423</v>
      </c>
      <c r="K34" s="30">
        <f t="shared" si="29"/>
        <v>0.23048752376874962</v>
      </c>
      <c r="L34" s="30">
        <f t="shared" si="29"/>
        <v>0.93197129176059634</v>
      </c>
      <c r="M34" s="30">
        <f t="shared" si="29"/>
        <v>0.52352594725476087</v>
      </c>
      <c r="N34" s="30">
        <f t="shared" si="29"/>
        <v>205.26317096232015</v>
      </c>
      <c r="O34" s="30">
        <f t="shared" si="30"/>
        <v>0.52219408556707636</v>
      </c>
    </row>
    <row r="35" spans="1:15" x14ac:dyDescent="0.25">
      <c r="A35" s="29" t="s">
        <v>293</v>
      </c>
      <c r="B35" s="24">
        <v>1</v>
      </c>
      <c r="C35" s="2"/>
      <c r="D35" s="30">
        <f>IFERROR(D30/$B35,0)</f>
        <v>30.66896683917961</v>
      </c>
      <c r="E35" s="30">
        <f>IFERROR(E30/$B35,0)</f>
        <v>384.19910929699597</v>
      </c>
      <c r="F35" s="30">
        <f>IFERROR(F30/$B35,0)</f>
        <v>246.38321506314611</v>
      </c>
      <c r="G35" s="30">
        <f t="shared" ref="G35:G61" si="31">IF(AND(D35&lt;&gt;0,E35&lt;&gt;0,F35&lt;&gt;0),1/((1/D35)+(1/E35)+(1/F35)),IF(AND(D35&lt;&gt;0,E35&lt;&gt;0,F35=0), 1/((1/D35)+(1/E35)),IF(AND(D35&lt;&gt;0,E35=0,F35&lt;&gt;0),1/((1/D35)+(1/F35)),IF(AND(D35=0,E35&lt;&gt;0,F35&lt;&gt;0),1/((1/E35)+(1/F35)),IF(AND(D35&lt;&gt;0,E35=0,F35=0),1/((1/D35)),IF(AND(D35=0,E35&lt;&gt;0,F35=0),1/((1/E35)),IF(AND(D35=0,E35=0,F35&lt;&gt;0),1/((1/F35)),IF(AND(D35=0,E35=0,F35=0),0))))))))</f>
        <v>25.46616767836445</v>
      </c>
      <c r="H35" s="30">
        <f t="shared" ref="H35:N35" si="32">IFERROR(H30/$B35,0)</f>
        <v>246.38321506314611</v>
      </c>
      <c r="I35" s="30">
        <f t="shared" si="32"/>
        <v>844.86136246315323</v>
      </c>
      <c r="J35" s="30">
        <f t="shared" si="32"/>
        <v>346.05022595354245</v>
      </c>
      <c r="K35" s="30">
        <f t="shared" si="32"/>
        <v>254.74936837598645</v>
      </c>
      <c r="L35" s="30">
        <f t="shared" si="32"/>
        <v>490.35090840998691</v>
      </c>
      <c r="M35" s="30">
        <f t="shared" si="32"/>
        <v>2.8263557675322379E-4</v>
      </c>
      <c r="N35" s="30">
        <f t="shared" si="32"/>
        <v>186858.503080269</v>
      </c>
      <c r="O35" s="30">
        <f t="shared" si="30"/>
        <v>2.8263557632571918E-4</v>
      </c>
    </row>
    <row r="36" spans="1:15" x14ac:dyDescent="0.25">
      <c r="A36" s="29" t="s">
        <v>294</v>
      </c>
      <c r="B36" s="24">
        <v>1</v>
      </c>
      <c r="C36" s="2"/>
      <c r="D36" s="30">
        <f>IFERROR(D26/$B36,0)</f>
        <v>8.1284291810607616</v>
      </c>
      <c r="E36" s="30">
        <f>IFERROR(E26/$B36,0)</f>
        <v>62.269559028008885</v>
      </c>
      <c r="F36" s="30">
        <f>IFERROR(F26/$B36,0)</f>
        <v>0.78149676027841664</v>
      </c>
      <c r="G36" s="30">
        <f t="shared" si="31"/>
        <v>0.7048805699645474</v>
      </c>
      <c r="H36" s="30">
        <f t="shared" ref="H36:N36" si="33">IFERROR(H26/$B36,0)</f>
        <v>0.78149676027841664</v>
      </c>
      <c r="I36" s="30">
        <f t="shared" si="33"/>
        <v>2.5905969953980663</v>
      </c>
      <c r="J36" s="30">
        <f t="shared" si="33"/>
        <v>1.027018329729336</v>
      </c>
      <c r="K36" s="30">
        <f t="shared" si="33"/>
        <v>0.78972304196555798</v>
      </c>
      <c r="L36" s="30">
        <f t="shared" si="33"/>
        <v>2.476029339495974</v>
      </c>
      <c r="M36" s="30">
        <f t="shared" si="33"/>
        <v>4.5808520384791572E-5</v>
      </c>
      <c r="N36" s="30">
        <f t="shared" si="33"/>
        <v>583.84193763990652</v>
      </c>
      <c r="O36" s="30">
        <f t="shared" si="30"/>
        <v>4.5808516790633222E-5</v>
      </c>
    </row>
    <row r="37" spans="1:15" x14ac:dyDescent="0.25">
      <c r="A37" s="29" t="s">
        <v>295</v>
      </c>
      <c r="B37" s="24">
        <v>1</v>
      </c>
      <c r="C37" s="2"/>
      <c r="D37" s="30">
        <f>IFERROR(D22/$B37,0)</f>
        <v>21.514051364797631</v>
      </c>
      <c r="E37" s="30">
        <f>IFERROR(E22/$B37,0)</f>
        <v>415.71756522235063</v>
      </c>
      <c r="F37" s="30">
        <f>IFERROR(F22/$B37,0)</f>
        <v>28.689747222458127</v>
      </c>
      <c r="G37" s="30">
        <f t="shared" si="31"/>
        <v>11.941384039502172</v>
      </c>
      <c r="H37" s="30">
        <f t="shared" ref="H37:N37" si="34">IFERROR(H22/$B37,0)</f>
        <v>28.689747222458127</v>
      </c>
      <c r="I37" s="30">
        <f t="shared" si="34"/>
        <v>39.403197997231089</v>
      </c>
      <c r="J37" s="30">
        <f t="shared" si="34"/>
        <v>28.855264994895382</v>
      </c>
      <c r="K37" s="30">
        <f t="shared" si="34"/>
        <v>28.744708424033714</v>
      </c>
      <c r="L37" s="30">
        <f t="shared" si="34"/>
        <v>19.821318094247818</v>
      </c>
      <c r="M37" s="30">
        <f t="shared" si="34"/>
        <v>3.0582208800030585E-4</v>
      </c>
      <c r="N37" s="30">
        <f t="shared" si="34"/>
        <v>9496.6694919908859</v>
      </c>
      <c r="O37" s="30">
        <f t="shared" si="30"/>
        <v>3.0582207815189042E-4</v>
      </c>
    </row>
    <row r="38" spans="1:15" x14ac:dyDescent="0.25">
      <c r="A38" s="29" t="s">
        <v>296</v>
      </c>
      <c r="B38" s="24">
        <v>1</v>
      </c>
      <c r="C38" s="2"/>
      <c r="D38" s="30">
        <f>IFERROR(D2/$B38,0)</f>
        <v>17.722640673460344</v>
      </c>
      <c r="E38" s="30">
        <f>IFERROR(E2/$B38,0)</f>
        <v>380.71543861684188</v>
      </c>
      <c r="F38" s="30">
        <f>IFERROR(F2/$B38,0)</f>
        <v>4.2506339369250989</v>
      </c>
      <c r="G38" s="30">
        <f t="shared" si="31"/>
        <v>3.3977702368537517</v>
      </c>
      <c r="H38" s="30">
        <f t="shared" ref="H38:N38" si="35">IFERROR(H2/$B38,0)</f>
        <v>4.2506339369250989</v>
      </c>
      <c r="I38" s="30">
        <f t="shared" si="35"/>
        <v>15.174694374338191</v>
      </c>
      <c r="J38" s="30">
        <f t="shared" si="35"/>
        <v>5.8612257020881255</v>
      </c>
      <c r="K38" s="30">
        <f t="shared" si="35"/>
        <v>4.3618423829493027</v>
      </c>
      <c r="L38" s="30">
        <f t="shared" si="35"/>
        <v>14.567706599364659</v>
      </c>
      <c r="M38" s="30">
        <f t="shared" si="35"/>
        <v>2.8007281893292258E-4</v>
      </c>
      <c r="N38" s="30">
        <f t="shared" si="35"/>
        <v>3402.4348746815417</v>
      </c>
      <c r="O38" s="30">
        <f t="shared" si="30"/>
        <v>2.800727958786158E-4</v>
      </c>
    </row>
    <row r="39" spans="1:15" x14ac:dyDescent="0.25">
      <c r="A39" s="29" t="s">
        <v>297</v>
      </c>
      <c r="B39" s="24">
        <v>1</v>
      </c>
      <c r="C39" s="2"/>
      <c r="D39" s="30">
        <f>IFERROR(D11/$B39,0)</f>
        <v>0</v>
      </c>
      <c r="E39" s="30">
        <f>IFERROR(E11/$B39,0)</f>
        <v>0</v>
      </c>
      <c r="F39" s="30">
        <f>IFERROR(F11/$B39,0)</f>
        <v>1.6709062135128732</v>
      </c>
      <c r="G39" s="30">
        <f t="shared" si="31"/>
        <v>1.6709062135128732</v>
      </c>
      <c r="H39" s="30">
        <f t="shared" ref="H39:N39" si="36">IFERROR(H11/$B39,0)</f>
        <v>1.6709062135128732</v>
      </c>
      <c r="I39" s="30">
        <f t="shared" si="36"/>
        <v>6.8452270973291984</v>
      </c>
      <c r="J39" s="30">
        <f t="shared" si="36"/>
        <v>2.4809420961219573</v>
      </c>
      <c r="K39" s="30">
        <f t="shared" si="36"/>
        <v>1.7346517684792599</v>
      </c>
      <c r="L39" s="30">
        <f t="shared" si="36"/>
        <v>6.9466378691414814</v>
      </c>
      <c r="M39" s="30">
        <f t="shared" si="36"/>
        <v>0</v>
      </c>
      <c r="N39" s="30">
        <f t="shared" si="36"/>
        <v>1520.2368589002633</v>
      </c>
      <c r="O39" s="30">
        <f t="shared" si="30"/>
        <v>1520.2368589002633</v>
      </c>
    </row>
    <row r="40" spans="1:15" x14ac:dyDescent="0.25">
      <c r="A40" s="29" t="s">
        <v>298</v>
      </c>
      <c r="B40" s="24">
        <v>1</v>
      </c>
      <c r="C40" s="2"/>
      <c r="D40" s="30">
        <f>IFERROR(D4/$B40,0)</f>
        <v>0</v>
      </c>
      <c r="E40" s="30">
        <f>IFERROR(E4/$B40,0)</f>
        <v>0</v>
      </c>
      <c r="F40" s="30">
        <f>IFERROR(F4/$B40,0)</f>
        <v>187.09149373248874</v>
      </c>
      <c r="G40" s="30">
        <f t="shared" si="31"/>
        <v>187.09149373248874</v>
      </c>
      <c r="H40" s="30">
        <f t="shared" ref="H40:N40" si="37">IFERROR(H4/$B40,0)</f>
        <v>187.09149373248874</v>
      </c>
      <c r="I40" s="30">
        <f t="shared" si="37"/>
        <v>808.44492442594833</v>
      </c>
      <c r="J40" s="30">
        <f t="shared" si="37"/>
        <v>293.06128510440624</v>
      </c>
      <c r="K40" s="30">
        <f t="shared" si="37"/>
        <v>199.53108773065958</v>
      </c>
      <c r="L40" s="30">
        <f t="shared" si="37"/>
        <v>824.43614271129672</v>
      </c>
      <c r="M40" s="30">
        <f t="shared" si="37"/>
        <v>0</v>
      </c>
      <c r="N40" s="30">
        <f t="shared" si="37"/>
        <v>179482.50953762681</v>
      </c>
      <c r="O40" s="30">
        <f t="shared" si="30"/>
        <v>179482.50953762681</v>
      </c>
    </row>
    <row r="41" spans="1:15" x14ac:dyDescent="0.25">
      <c r="A41" s="29" t="s">
        <v>299</v>
      </c>
      <c r="B41" s="31">
        <v>0.99987999999999999</v>
      </c>
      <c r="C41" s="111"/>
      <c r="D41" s="30">
        <f>IFERROR(D8/$B41,0)</f>
        <v>5046.4916050419906</v>
      </c>
      <c r="E41" s="30">
        <f>IFERROR(E8/$B41,0)</f>
        <v>146973.79616164035</v>
      </c>
      <c r="F41" s="30">
        <f>IFERROR(F8/$B41,0)</f>
        <v>0.32272125982742872</v>
      </c>
      <c r="G41" s="30">
        <f t="shared" si="31"/>
        <v>0.3226999147118671</v>
      </c>
      <c r="H41" s="30">
        <f t="shared" ref="H41:N41" si="38">IFERROR(H8/$B41,0)</f>
        <v>0.32272125982742872</v>
      </c>
      <c r="I41" s="30">
        <f t="shared" si="38"/>
        <v>1.4887439069420076</v>
      </c>
      <c r="J41" s="30">
        <f t="shared" si="38"/>
        <v>0.53290264850765057</v>
      </c>
      <c r="K41" s="30">
        <f t="shared" si="38"/>
        <v>0.35226616389613696</v>
      </c>
      <c r="L41" s="30">
        <f t="shared" si="38"/>
        <v>1.4569454933956736</v>
      </c>
      <c r="M41" s="30">
        <f t="shared" si="38"/>
        <v>0.10812108263802468</v>
      </c>
      <c r="N41" s="30">
        <f t="shared" si="38"/>
        <v>329.09075837665438</v>
      </c>
      <c r="O41" s="30">
        <f t="shared" si="30"/>
        <v>0.10808557167720362</v>
      </c>
    </row>
    <row r="42" spans="1:15" x14ac:dyDescent="0.25">
      <c r="A42" s="29" t="s">
        <v>300</v>
      </c>
      <c r="B42" s="24">
        <v>0.97898250799999997</v>
      </c>
      <c r="C42" s="2"/>
      <c r="D42" s="30">
        <f>IFERROR(D19/$B42,0)</f>
        <v>0</v>
      </c>
      <c r="E42" s="30">
        <f>IFERROR(E19/$B42,0)</f>
        <v>0</v>
      </c>
      <c r="F42" s="30">
        <f>IFERROR(F19/$B42,0)</f>
        <v>1035.5993357092586</v>
      </c>
      <c r="G42" s="30">
        <f t="shared" si="31"/>
        <v>1035.5993357092586</v>
      </c>
      <c r="H42" s="30">
        <f t="shared" ref="H42:N42" si="39">IFERROR(H19/$B42,0)</f>
        <v>1035.5993357092586</v>
      </c>
      <c r="I42" s="30">
        <f t="shared" si="39"/>
        <v>5177.996678546293</v>
      </c>
      <c r="J42" s="30">
        <f t="shared" si="39"/>
        <v>1838.6360566815047</v>
      </c>
      <c r="K42" s="30">
        <f t="shared" si="39"/>
        <v>1178.9900129613097</v>
      </c>
      <c r="L42" s="30">
        <f t="shared" si="39"/>
        <v>5321.8299196170237</v>
      </c>
      <c r="M42" s="30">
        <f t="shared" si="39"/>
        <v>0</v>
      </c>
      <c r="N42" s="30">
        <f t="shared" si="39"/>
        <v>1110642.7658331178</v>
      </c>
      <c r="O42" s="30">
        <f t="shared" si="30"/>
        <v>1110642.7658331178</v>
      </c>
    </row>
    <row r="43" spans="1:15" x14ac:dyDescent="0.25">
      <c r="A43" s="29" t="s">
        <v>301</v>
      </c>
      <c r="B43" s="24">
        <v>2.0897492E-2</v>
      </c>
      <c r="C43" s="2"/>
      <c r="D43" s="30">
        <f>IFERROR(D28/$B43,0)</f>
        <v>0</v>
      </c>
      <c r="E43" s="30">
        <f>IFERROR(E28/$B43,0)</f>
        <v>0</v>
      </c>
      <c r="F43" s="30">
        <f>IFERROR(F28/$B43,0)</f>
        <v>0.81223552046891234</v>
      </c>
      <c r="G43" s="30">
        <f t="shared" si="31"/>
        <v>0.81223552046891234</v>
      </c>
      <c r="H43" s="30">
        <f t="shared" ref="H43:N43" si="40">IFERROR(H28/$B43,0)</f>
        <v>0.81223552046891234</v>
      </c>
      <c r="I43" s="30">
        <f t="shared" si="40"/>
        <v>4.3996090692066083</v>
      </c>
      <c r="J43" s="30">
        <f t="shared" si="40"/>
        <v>1.5316045223859185</v>
      </c>
      <c r="K43" s="30">
        <f t="shared" si="40"/>
        <v>0.96248820388005152</v>
      </c>
      <c r="L43" s="30">
        <f t="shared" si="40"/>
        <v>4.5158251578271607</v>
      </c>
      <c r="M43" s="30">
        <f t="shared" si="40"/>
        <v>0</v>
      </c>
      <c r="N43" s="30">
        <f t="shared" si="40"/>
        <v>875.62951231038835</v>
      </c>
      <c r="O43" s="30">
        <f t="shared" si="30"/>
        <v>875.62951231038824</v>
      </c>
    </row>
    <row r="44" spans="1:15" x14ac:dyDescent="0.25">
      <c r="A44" s="29" t="s">
        <v>302</v>
      </c>
      <c r="B44" s="24">
        <v>0.99987999999999999</v>
      </c>
      <c r="C44" s="2"/>
      <c r="D44" s="30">
        <f>IFERROR(D15/$B44,0)</f>
        <v>13105.585774306021</v>
      </c>
      <c r="E44" s="30">
        <f>IFERROR(E15/$B44,0)</f>
        <v>52303842.050405815</v>
      </c>
      <c r="F44" s="30">
        <f>IFERROR(F15/$B44,0)</f>
        <v>362.47677734240187</v>
      </c>
      <c r="G44" s="30">
        <f t="shared" si="31"/>
        <v>352.71877027079762</v>
      </c>
      <c r="H44" s="30">
        <f t="shared" ref="H44:N44" si="41">IFERROR(H15/$B44,0)</f>
        <v>362.47677734240187</v>
      </c>
      <c r="I44" s="30">
        <f t="shared" si="41"/>
        <v>1056.6496677915388</v>
      </c>
      <c r="J44" s="30">
        <f t="shared" si="41"/>
        <v>467.31871518358992</v>
      </c>
      <c r="K44" s="30">
        <f t="shared" si="41"/>
        <v>368.07796374725132</v>
      </c>
      <c r="L44" s="30">
        <f t="shared" si="41"/>
        <v>344.50272226757198</v>
      </c>
      <c r="M44" s="30">
        <f t="shared" si="41"/>
        <v>38.477253607837959</v>
      </c>
      <c r="N44" s="30">
        <f t="shared" si="41"/>
        <v>102784.51083544819</v>
      </c>
      <c r="O44" s="30">
        <f t="shared" si="30"/>
        <v>38.462855085944007</v>
      </c>
    </row>
    <row r="45" spans="1:15" x14ac:dyDescent="0.25">
      <c r="A45" s="26" t="s">
        <v>20</v>
      </c>
      <c r="B45" s="26" t="s">
        <v>289</v>
      </c>
      <c r="C45" s="110"/>
      <c r="D45" s="27">
        <f>IFERROR(IF(AND(D46&lt;&gt;0,D47&lt;&gt;0),1/SUM(1/D46,1/D47),IF(AND(D46&lt;&gt;0,D47=0),1/(1/D46),IF(AND(D46=0,D47&lt;&gt;0),1/(1/D47),IF(AND(D46=0,D47=0),".")))),".")</f>
        <v>50.341377465940901</v>
      </c>
      <c r="E45" s="27">
        <f t="shared" ref="E45:O45" si="42">IFERROR(IF(AND(E46&lt;&gt;0,E47&lt;&gt;0),1/SUM(1/E46,1/E47),IF(AND(E46&lt;&gt;0,E47=0),1/(1/E46),IF(AND(E46=0,E47&lt;&gt;0),1/(1/E47),IF(AND(E46=0,E47=0),".")))),".")</f>
        <v>96681.683754013779</v>
      </c>
      <c r="F45" s="27">
        <f t="shared" si="42"/>
        <v>6.9093720430758176E-2</v>
      </c>
      <c r="G45" s="28">
        <f t="shared" si="42"/>
        <v>6.8998969787981451E-2</v>
      </c>
      <c r="H45" s="27">
        <f t="shared" si="42"/>
        <v>6.9093720430758176E-2</v>
      </c>
      <c r="I45" s="27">
        <f t="shared" si="42"/>
        <v>0.33893132981154822</v>
      </c>
      <c r="J45" s="27">
        <f t="shared" si="42"/>
        <v>0.12019964494419602</v>
      </c>
      <c r="K45" s="27">
        <f t="shared" si="42"/>
        <v>7.7518085315532531E-2</v>
      </c>
      <c r="L45" s="27">
        <f t="shared" si="42"/>
        <v>0.34591826483687577</v>
      </c>
      <c r="M45" s="27">
        <f t="shared" si="42"/>
        <v>7.1123755334281655E-2</v>
      </c>
      <c r="N45" s="27">
        <f t="shared" si="42"/>
        <v>73.537914259447277</v>
      </c>
      <c r="O45" s="28">
        <f t="shared" si="42"/>
        <v>7.105503295032882E-2</v>
      </c>
    </row>
    <row r="46" spans="1:15" x14ac:dyDescent="0.25">
      <c r="A46" s="29" t="s">
        <v>303</v>
      </c>
      <c r="B46" s="24">
        <v>1</v>
      </c>
      <c r="C46" s="2"/>
      <c r="D46" s="30">
        <f>IFERROR(D10/$B46,0)</f>
        <v>50.341377465940901</v>
      </c>
      <c r="E46" s="30">
        <f>IFERROR(E10/$B46,0)</f>
        <v>96681.683754013779</v>
      </c>
      <c r="F46" s="30">
        <f>IFERROR(F10/$B46,0)</f>
        <v>317.2249005781311</v>
      </c>
      <c r="G46" s="30">
        <f t="shared" si="31"/>
        <v>43.427175635681373</v>
      </c>
      <c r="H46" s="30">
        <f t="shared" ref="H46:N46" si="43">IFERROR(H10/$B46,0)</f>
        <v>317.2249005781311</v>
      </c>
      <c r="I46" s="30">
        <f t="shared" si="43"/>
        <v>910.48166246029132</v>
      </c>
      <c r="J46" s="30">
        <f t="shared" si="43"/>
        <v>413.12604067581498</v>
      </c>
      <c r="K46" s="30">
        <f t="shared" si="43"/>
        <v>323.37796977037937</v>
      </c>
      <c r="L46" s="30">
        <f t="shared" si="43"/>
        <v>316.55564973302955</v>
      </c>
      <c r="M46" s="30">
        <f t="shared" si="43"/>
        <v>7.1123755334281655E-2</v>
      </c>
      <c r="N46" s="30">
        <f t="shared" si="43"/>
        <v>107947.75393773813</v>
      </c>
      <c r="O46" s="30">
        <f t="shared" ref="O46:O47" si="44">IFERROR(IF(AND(M46&lt;&gt;0,N46&lt;&gt;0),1/((1/M46)+(1/N46)),IF(AND(M46&lt;&gt;0,N46=0),1/((1/M46)),IF(AND(M46=0,N46&lt;&gt;0),1/((1/N46)),IF(AND(M46=0,N46=0),0)))),0)</f>
        <v>7.1123708472859759E-2</v>
      </c>
    </row>
    <row r="47" spans="1:15" x14ac:dyDescent="0.25">
      <c r="A47" s="29" t="s">
        <v>304</v>
      </c>
      <c r="B47" s="32">
        <v>0.94399</v>
      </c>
      <c r="C47" s="2"/>
      <c r="D47" s="30">
        <f>IFERROR(D6/$B$47,0)</f>
        <v>0</v>
      </c>
      <c r="E47" s="30">
        <f>IFERROR(E6/$B$47,0)</f>
        <v>0</v>
      </c>
      <c r="F47" s="30">
        <f>IFERROR(F6/$B$47,0)</f>
        <v>6.9108772787044082E-2</v>
      </c>
      <c r="G47" s="30">
        <f t="shared" si="31"/>
        <v>6.9108772787044082E-2</v>
      </c>
      <c r="H47" s="30">
        <f t="shared" ref="H47:N47" si="45">IFERROR(H6/$B$47,0)</f>
        <v>6.9108772787044082E-2</v>
      </c>
      <c r="I47" s="30">
        <f t="shared" si="45"/>
        <v>0.33905754567022478</v>
      </c>
      <c r="J47" s="30">
        <f t="shared" si="45"/>
        <v>0.12023462739047003</v>
      </c>
      <c r="K47" s="30">
        <f t="shared" si="45"/>
        <v>7.7536671907415297E-2</v>
      </c>
      <c r="L47" s="30">
        <f t="shared" si="45"/>
        <v>0.34629668281089626</v>
      </c>
      <c r="M47" s="30">
        <f t="shared" si="45"/>
        <v>0</v>
      </c>
      <c r="N47" s="30">
        <f t="shared" si="45"/>
        <v>73.588045097315458</v>
      </c>
      <c r="O47" s="30">
        <f t="shared" si="44"/>
        <v>73.588045097315458</v>
      </c>
    </row>
    <row r="48" spans="1:15" x14ac:dyDescent="0.25">
      <c r="A48" s="26" t="s">
        <v>33</v>
      </c>
      <c r="B48" s="26" t="s">
        <v>289</v>
      </c>
      <c r="C48" s="112"/>
      <c r="D48" s="27">
        <f>1/SUM(1/D49,1/D52,1/D54,1/D58,1/D59,1/D61)</f>
        <v>0.68562865974501674</v>
      </c>
      <c r="E48" s="27">
        <f>1/SUM(1/E49,1/E50,1/E51,1/E52,1/E54,1/E58,1/E59,1/E61)</f>
        <v>183.86675287681183</v>
      </c>
      <c r="F48" s="27">
        <f>1/SUM(1/F49,1/F50,1/F51,1/F52,1/F53,1/F54,1/F55,1/F56,1/F57,1/F58,1/F59,1/F60,1/F61,1/F62)</f>
        <v>2.0926811911462069E-2</v>
      </c>
      <c r="G48" s="28">
        <f>1/SUM(1/G49,1/G50,1/G51,1/G52,1/G53,1/G54,1/G55,1/G56,1/G57,1/G58,1/G59,1/G60,1/G61,1/G62)</f>
        <v>2.0304757516659701E-2</v>
      </c>
      <c r="H48" s="27">
        <f t="shared" ref="H48:O48" si="46">1/SUM(1/H49,1/H50,1/H51,1/H52,1/H53,1/H54,1/H55,1/H56,1/H57,1/H58,1/H59,1/H60,1/H61,1/H62)</f>
        <v>2.0926811911462069E-2</v>
      </c>
      <c r="I48" s="27">
        <f t="shared" si="46"/>
        <v>0.11218964682370068</v>
      </c>
      <c r="J48" s="27">
        <f t="shared" si="46"/>
        <v>3.9245660822114815E-2</v>
      </c>
      <c r="K48" s="27">
        <f t="shared" si="46"/>
        <v>2.4658989259215988E-2</v>
      </c>
      <c r="L48" s="27">
        <f t="shared" si="46"/>
        <v>0.11518048909409932</v>
      </c>
      <c r="M48" s="27">
        <f>1/SUM(1/M49,1/M50,1/M51,1/M52,1/M54,1/M58,1/M59,1/M61)</f>
        <v>1.3526133842467635E-4</v>
      </c>
      <c r="N48" s="27">
        <f t="shared" si="46"/>
        <v>22.600621124082622</v>
      </c>
      <c r="O48" s="28">
        <f t="shared" si="46"/>
        <v>1.3526052891063353E-4</v>
      </c>
    </row>
    <row r="49" spans="1:15" x14ac:dyDescent="0.25">
      <c r="A49" s="29" t="s">
        <v>305</v>
      </c>
      <c r="B49" s="24">
        <v>1</v>
      </c>
      <c r="C49" s="109"/>
      <c r="D49" s="30">
        <f>IFERROR(D23/$B49,0)</f>
        <v>5.4325682466385992</v>
      </c>
      <c r="E49" s="30">
        <f>IFERROR(E23/$B49,0)</f>
        <v>386.21855270985793</v>
      </c>
      <c r="F49" s="30">
        <f>IFERROR(F23/$B49,0)</f>
        <v>7.0115597183857936</v>
      </c>
      <c r="G49" s="30">
        <f t="shared" si="31"/>
        <v>3.0368753185596455</v>
      </c>
      <c r="H49" s="30">
        <f t="shared" ref="H49:N49" si="47">IFERROR(H23/$B49,0)</f>
        <v>7.0115597183857936</v>
      </c>
      <c r="I49" s="30">
        <f t="shared" si="47"/>
        <v>27.663602133749265</v>
      </c>
      <c r="J49" s="30">
        <f t="shared" si="47"/>
        <v>10.117827240286987</v>
      </c>
      <c r="K49" s="30">
        <f t="shared" si="47"/>
        <v>7.2138162487238455</v>
      </c>
      <c r="L49" s="30">
        <f t="shared" si="47"/>
        <v>28.046238873543174</v>
      </c>
      <c r="M49" s="30">
        <f t="shared" si="47"/>
        <v>2.8412117768228151E-4</v>
      </c>
      <c r="N49" s="30">
        <f t="shared" si="47"/>
        <v>6149.4827038301655</v>
      </c>
      <c r="O49" s="30">
        <f t="shared" ref="O49:O62" si="48">IFERROR(IF(AND(M49&lt;&gt;0,N49&lt;&gt;0),1/((1/M49)+(1/N49)),IF(AND(M49&lt;&gt;0,N49=0),1/((1/M49)),IF(AND(M49=0,N49&lt;&gt;0),1/((1/N49)),IF(AND(M49=0,N49=0),0)))),0)</f>
        <v>2.8412116455518716E-4</v>
      </c>
    </row>
    <row r="50" spans="1:15" x14ac:dyDescent="0.25">
      <c r="A50" s="29" t="s">
        <v>306</v>
      </c>
      <c r="B50" s="24">
        <v>1</v>
      </c>
      <c r="C50" s="109"/>
      <c r="D50" s="30">
        <f>IFERROR(D25/$B50,0)</f>
        <v>0</v>
      </c>
      <c r="E50" s="30">
        <f>IFERROR(E25/$B50,0)</f>
        <v>4769629.7318646796</v>
      </c>
      <c r="F50" s="30">
        <f>IFERROR(F25/$B50,0)</f>
        <v>103.48095032652139</v>
      </c>
      <c r="G50" s="30">
        <f t="shared" si="31"/>
        <v>103.47870527284591</v>
      </c>
      <c r="H50" s="30">
        <f t="shared" ref="H50:N50" si="49">IFERROR(H25/$B50,0)</f>
        <v>103.48095032652139</v>
      </c>
      <c r="I50" s="30">
        <f t="shared" si="49"/>
        <v>490.99272897073286</v>
      </c>
      <c r="J50" s="30">
        <f t="shared" si="49"/>
        <v>173.98814700076068</v>
      </c>
      <c r="K50" s="30">
        <f t="shared" si="49"/>
        <v>113.67225604049698</v>
      </c>
      <c r="L50" s="30">
        <f t="shared" si="49"/>
        <v>500.15792657818673</v>
      </c>
      <c r="M50" s="30">
        <f t="shared" si="49"/>
        <v>3.5087719298245617</v>
      </c>
      <c r="N50" s="30">
        <f t="shared" si="49"/>
        <v>107947.75393773813</v>
      </c>
      <c r="O50" s="30">
        <f t="shared" si="48"/>
        <v>3.5086578831691866</v>
      </c>
    </row>
    <row r="51" spans="1:15" x14ac:dyDescent="0.25">
      <c r="A51" s="29" t="s">
        <v>307</v>
      </c>
      <c r="B51" s="24">
        <v>1</v>
      </c>
      <c r="C51" s="109"/>
      <c r="D51" s="30">
        <f>IFERROR(D21/$B51,0)</f>
        <v>0</v>
      </c>
      <c r="E51" s="30">
        <f>IFERROR(E21/$B51,0)</f>
        <v>782356.53155765973</v>
      </c>
      <c r="F51" s="30">
        <f>IFERROR(F21/$B51,0)</f>
        <v>28450394.003309824</v>
      </c>
      <c r="G51" s="30">
        <f t="shared" si="31"/>
        <v>761418.31222243607</v>
      </c>
      <c r="H51" s="30">
        <f t="shared" ref="H51:N51" si="50">IFERROR(H21/$B51,0)</f>
        <v>28450394.003309824</v>
      </c>
      <c r="I51" s="30">
        <f t="shared" si="50"/>
        <v>61656549.134391837</v>
      </c>
      <c r="J51" s="30">
        <f t="shared" si="50"/>
        <v>32562365.011600692</v>
      </c>
      <c r="K51" s="30">
        <f t="shared" si="50"/>
        <v>28547826.859485544</v>
      </c>
      <c r="L51" s="30">
        <f t="shared" si="50"/>
        <v>36722314.726739116</v>
      </c>
      <c r="M51" s="30">
        <f t="shared" si="50"/>
        <v>0.57553956834532372</v>
      </c>
      <c r="N51" s="30">
        <f t="shared" si="50"/>
        <v>4439271537.6762133</v>
      </c>
      <c r="O51" s="30">
        <f t="shared" si="48"/>
        <v>0.57553956827070651</v>
      </c>
    </row>
    <row r="52" spans="1:15" x14ac:dyDescent="0.25">
      <c r="A52" s="29" t="s">
        <v>308</v>
      </c>
      <c r="B52" s="32">
        <v>0.99980000000000002</v>
      </c>
      <c r="C52" s="109"/>
      <c r="D52" s="30">
        <f>IFERROR(D17/$B52,0)</f>
        <v>7257.029131202622</v>
      </c>
      <c r="E52" s="30">
        <f>IFERROR(E17/$B52,0)</f>
        <v>139986.24420703278</v>
      </c>
      <c r="F52" s="30">
        <f>IFERROR(F17/$B52,0)</f>
        <v>0.17635416386856217</v>
      </c>
      <c r="G52" s="30">
        <f t="shared" si="31"/>
        <v>0.17634965620420295</v>
      </c>
      <c r="H52" s="30">
        <f t="shared" ref="H52:N52" si="51">IFERROR(H17/$B52,0)</f>
        <v>0.17635416386856217</v>
      </c>
      <c r="I52" s="30">
        <f t="shared" si="51"/>
        <v>0.77519314799662409</v>
      </c>
      <c r="J52" s="30">
        <f t="shared" si="51"/>
        <v>0.27833344482964845</v>
      </c>
      <c r="K52" s="30">
        <f t="shared" si="51"/>
        <v>0.18830287760620629</v>
      </c>
      <c r="L52" s="30">
        <f t="shared" si="51"/>
        <v>0.78574551545626403</v>
      </c>
      <c r="M52" s="30">
        <f t="shared" si="51"/>
        <v>0.10298069909992295</v>
      </c>
      <c r="N52" s="30">
        <f t="shared" si="51"/>
        <v>171.90995813533382</v>
      </c>
      <c r="O52" s="30">
        <f t="shared" si="48"/>
        <v>0.10291904661924929</v>
      </c>
    </row>
    <row r="53" spans="1:15" x14ac:dyDescent="0.25">
      <c r="A53" s="29" t="s">
        <v>309</v>
      </c>
      <c r="B53" s="24">
        <v>2.0000000000000001E-4</v>
      </c>
      <c r="C53" s="109"/>
      <c r="D53" s="30">
        <f>IFERROR(D5/$B53,0)</f>
        <v>0</v>
      </c>
      <c r="E53" s="30">
        <f>IFERROR(E5/$B53,0)</f>
        <v>0</v>
      </c>
      <c r="F53" s="30">
        <f>IFERROR(F5/$B53,0)</f>
        <v>35472193.374339476</v>
      </c>
      <c r="G53" s="30">
        <f t="shared" si="31"/>
        <v>35472193.374339476</v>
      </c>
      <c r="H53" s="30">
        <f t="shared" ref="H53:N53" si="52">IFERROR(H5/$B53,0)</f>
        <v>35472193.374339476</v>
      </c>
      <c r="I53" s="30">
        <f t="shared" si="52"/>
        <v>116035153.71617173</v>
      </c>
      <c r="J53" s="30">
        <f t="shared" si="52"/>
        <v>52792688.04920695</v>
      </c>
      <c r="K53" s="30">
        <f t="shared" si="52"/>
        <v>38063769.145980708</v>
      </c>
      <c r="L53" s="30">
        <f t="shared" si="52"/>
        <v>48748335.923799865</v>
      </c>
      <c r="M53" s="30">
        <f t="shared" si="52"/>
        <v>0</v>
      </c>
      <c r="N53" s="30">
        <f t="shared" si="52"/>
        <v>28418064010.124237</v>
      </c>
      <c r="O53" s="30">
        <f t="shared" si="48"/>
        <v>28418064010.124237</v>
      </c>
    </row>
    <row r="54" spans="1:15" x14ac:dyDescent="0.25">
      <c r="A54" s="29" t="s">
        <v>310</v>
      </c>
      <c r="B54" s="24">
        <v>0.99999979999999999</v>
      </c>
      <c r="C54" s="109"/>
      <c r="D54" s="30">
        <f>IFERROR(D9/$B54,0)</f>
        <v>10865.138666304931</v>
      </c>
      <c r="E54" s="30">
        <f>IFERROR(E9/$B54,0)</f>
        <v>175966.95733985538</v>
      </c>
      <c r="F54" s="30">
        <f>IFERROR(F9/$B54,0)</f>
        <v>2.3854913828765908E-2</v>
      </c>
      <c r="G54" s="30">
        <f t="shared" si="31"/>
        <v>2.3854858220445255E-2</v>
      </c>
      <c r="H54" s="30">
        <f t="shared" ref="H54:N54" si="53">IFERROR(H9/$B54,0)</f>
        <v>2.3854913828765908E-2</v>
      </c>
      <c r="I54" s="30">
        <f t="shared" si="53"/>
        <v>0.13208398590047324</v>
      </c>
      <c r="J54" s="30">
        <f t="shared" si="53"/>
        <v>4.5970406857517646E-2</v>
      </c>
      <c r="K54" s="30">
        <f t="shared" si="53"/>
        <v>2.8526123190672551E-2</v>
      </c>
      <c r="L54" s="30">
        <f t="shared" si="53"/>
        <v>0.13640673452994326</v>
      </c>
      <c r="M54" s="30">
        <f t="shared" si="53"/>
        <v>0.12944986407767506</v>
      </c>
      <c r="N54" s="30">
        <f t="shared" si="53"/>
        <v>26.186284115695916</v>
      </c>
      <c r="O54" s="30">
        <f t="shared" si="48"/>
        <v>0.12881308657708898</v>
      </c>
    </row>
    <row r="55" spans="1:15" x14ac:dyDescent="0.25">
      <c r="A55" s="29" t="s">
        <v>311</v>
      </c>
      <c r="B55" s="24">
        <v>1.9999999999999999E-7</v>
      </c>
      <c r="C55" s="109"/>
      <c r="D55" s="30">
        <f>IFERROR(D24/$B55,0)</f>
        <v>0</v>
      </c>
      <c r="E55" s="30">
        <f>IFERROR(E24/$B55,0)</f>
        <v>0</v>
      </c>
      <c r="F55" s="30">
        <f>IFERROR(F24/$B55,0)</f>
        <v>258702375.81630349</v>
      </c>
      <c r="G55" s="30">
        <f t="shared" si="31"/>
        <v>258702375.81630349</v>
      </c>
      <c r="H55" s="30">
        <f t="shared" ref="H55:N55" si="54">IFERROR(H24/$B55,0)</f>
        <v>258702375.81630349</v>
      </c>
      <c r="I55" s="30">
        <f t="shared" si="54"/>
        <v>1257099346.2923591</v>
      </c>
      <c r="J55" s="30">
        <f t="shared" si="54"/>
        <v>446569577.30195242</v>
      </c>
      <c r="K55" s="30">
        <f t="shared" si="54"/>
        <v>288552649.94895381</v>
      </c>
      <c r="L55" s="30">
        <f t="shared" si="54"/>
        <v>1286855728.7603428</v>
      </c>
      <c r="M55" s="30">
        <f t="shared" si="54"/>
        <v>0</v>
      </c>
      <c r="N55" s="30">
        <f t="shared" si="54"/>
        <v>274812047570.43219</v>
      </c>
      <c r="O55" s="30">
        <f t="shared" si="48"/>
        <v>274812047570.43219</v>
      </c>
    </row>
    <row r="56" spans="1:15" x14ac:dyDescent="0.25">
      <c r="A56" s="29" t="s">
        <v>312</v>
      </c>
      <c r="B56" s="24">
        <v>0.99979000004200003</v>
      </c>
      <c r="C56" s="109"/>
      <c r="D56" s="30">
        <f>IFERROR(D20/$B56,0)</f>
        <v>0</v>
      </c>
      <c r="E56" s="30">
        <f>IFERROR(E20/$B56,0)</f>
        <v>0</v>
      </c>
      <c r="F56" s="30">
        <f>IFERROR(F20/$B56,0)</f>
        <v>454.78452889395464</v>
      </c>
      <c r="G56" s="30">
        <f t="shared" si="31"/>
        <v>454.78452889395464</v>
      </c>
      <c r="H56" s="30">
        <f t="shared" ref="H56:N56" si="55">IFERROR(H20/$B56,0)</f>
        <v>454.78452889395464</v>
      </c>
      <c r="I56" s="30">
        <f t="shared" si="55"/>
        <v>2299.002673636719</v>
      </c>
      <c r="J56" s="30">
        <f t="shared" si="55"/>
        <v>815.64616595111431</v>
      </c>
      <c r="K56" s="30">
        <f t="shared" si="55"/>
        <v>519.30413333911781</v>
      </c>
      <c r="L56" s="30">
        <f t="shared" si="55"/>
        <v>2359.7310461478778</v>
      </c>
      <c r="M56" s="30">
        <f t="shared" si="55"/>
        <v>0</v>
      </c>
      <c r="N56" s="30">
        <f t="shared" si="55"/>
        <v>490453.90370916674</v>
      </c>
      <c r="O56" s="30">
        <f t="shared" si="48"/>
        <v>490453.90370916674</v>
      </c>
    </row>
    <row r="57" spans="1:15" x14ac:dyDescent="0.25">
      <c r="A57" s="29" t="s">
        <v>313</v>
      </c>
      <c r="B57" s="24">
        <v>2.0999995799999999E-4</v>
      </c>
      <c r="C57" s="109"/>
      <c r="D57" s="30">
        <f>IFERROR(D29/$B57,0)</f>
        <v>0</v>
      </c>
      <c r="E57" s="30">
        <f>IFERROR(E29/$B57,0)</f>
        <v>0</v>
      </c>
      <c r="F57" s="30">
        <f>IFERROR(F29/$B57,0)</f>
        <v>62.131431876992792</v>
      </c>
      <c r="G57" s="30">
        <f t="shared" si="31"/>
        <v>62.131431876992785</v>
      </c>
      <c r="H57" s="30">
        <f t="shared" ref="H57:N57" si="56">IFERROR(H29/$B57,0)</f>
        <v>62.131431876992792</v>
      </c>
      <c r="I57" s="30">
        <f t="shared" si="56"/>
        <v>335.7666666284855</v>
      </c>
      <c r="J57" s="30">
        <f t="shared" si="56"/>
        <v>117.20988625088866</v>
      </c>
      <c r="K57" s="30">
        <f t="shared" si="56"/>
        <v>73.433860902920571</v>
      </c>
      <c r="L57" s="30">
        <f t="shared" si="56"/>
        <v>346.85022649777534</v>
      </c>
      <c r="M57" s="30">
        <f t="shared" si="56"/>
        <v>0</v>
      </c>
      <c r="N57" s="30">
        <f t="shared" si="56"/>
        <v>67406.742130699728</v>
      </c>
      <c r="O57" s="30">
        <f t="shared" si="48"/>
        <v>67406.742130699728</v>
      </c>
    </row>
    <row r="58" spans="1:15" x14ac:dyDescent="0.25">
      <c r="A58" s="29" t="s">
        <v>314</v>
      </c>
      <c r="B58" s="24">
        <v>1</v>
      </c>
      <c r="C58" s="109"/>
      <c r="D58" s="30">
        <f>IFERROR(D16/$B58,0)</f>
        <v>2.6693360026693358</v>
      </c>
      <c r="E58" s="30">
        <f>IFERROR(E16/$B58,0)</f>
        <v>685.11029979534248</v>
      </c>
      <c r="F58" s="30">
        <f>IFERROR(F16/$B58,0)</f>
        <v>118.14754171138269</v>
      </c>
      <c r="G58" s="30">
        <f t="shared" si="31"/>
        <v>2.6004514594177008</v>
      </c>
      <c r="H58" s="30">
        <f t="shared" ref="H58:N58" si="57">IFERROR(H16/$B58,0)</f>
        <v>118.14754171138269</v>
      </c>
      <c r="I58" s="30">
        <f t="shared" si="57"/>
        <v>183.88159065374509</v>
      </c>
      <c r="J58" s="30">
        <f t="shared" si="57"/>
        <v>119.46447290880255</v>
      </c>
      <c r="K58" s="30">
        <f t="shared" si="57"/>
        <v>118.14754171138269</v>
      </c>
      <c r="L58" s="30">
        <f t="shared" si="57"/>
        <v>102.07304624044625</v>
      </c>
      <c r="M58" s="30">
        <f t="shared" si="57"/>
        <v>5.0400050400050398E-4</v>
      </c>
      <c r="N58" s="30">
        <f t="shared" si="57"/>
        <v>44524.444502509206</v>
      </c>
      <c r="O58" s="30">
        <f t="shared" si="48"/>
        <v>5.0400049829540179E-4</v>
      </c>
    </row>
    <row r="59" spans="1:15" x14ac:dyDescent="0.25">
      <c r="A59" s="29" t="s">
        <v>315</v>
      </c>
      <c r="B59" s="24">
        <v>1</v>
      </c>
      <c r="C59" s="109"/>
      <c r="D59" s="30">
        <f>IFERROR(D7/$B59,0)</f>
        <v>428.15092320042817</v>
      </c>
      <c r="E59" s="30">
        <f>IFERROR(E7/$B59,0)</f>
        <v>23895.31045627658</v>
      </c>
      <c r="F59" s="30">
        <f>IFERROR(F7/$B59,0)</f>
        <v>63.311129946605895</v>
      </c>
      <c r="G59" s="30">
        <f t="shared" si="31"/>
        <v>55.02824643174489</v>
      </c>
      <c r="H59" s="30">
        <f t="shared" ref="H59:N59" si="58">IFERROR(H7/$B59,0)</f>
        <v>63.311129946605895</v>
      </c>
      <c r="I59" s="30">
        <f t="shared" si="58"/>
        <v>183.5217440966928</v>
      </c>
      <c r="J59" s="30">
        <f t="shared" si="58"/>
        <v>85.254192030372721</v>
      </c>
      <c r="K59" s="30">
        <f t="shared" si="58"/>
        <v>65.237990423241754</v>
      </c>
      <c r="L59" s="30">
        <f t="shared" si="58"/>
        <v>36.331084255074089</v>
      </c>
      <c r="M59" s="30">
        <f t="shared" si="58"/>
        <v>1.757855416392002E-2</v>
      </c>
      <c r="N59" s="30">
        <f t="shared" si="58"/>
        <v>33123.04149524415</v>
      </c>
      <c r="O59" s="30">
        <f t="shared" si="48"/>
        <v>1.7578544834903464E-2</v>
      </c>
    </row>
    <row r="60" spans="1:15" x14ac:dyDescent="0.25">
      <c r="A60" s="29" t="s">
        <v>316</v>
      </c>
      <c r="B60" s="33">
        <v>1.9000000000000001E-8</v>
      </c>
      <c r="C60" s="109"/>
      <c r="D60" s="30">
        <f>IFERROR(D12/$B60,0)</f>
        <v>0</v>
      </c>
      <c r="E60" s="30">
        <f>IFERROR(E12/$B60,0)</f>
        <v>0</v>
      </c>
      <c r="F60" s="30">
        <f>IFERROR(F12/$B60,0)</f>
        <v>19075435.79626951</v>
      </c>
      <c r="G60" s="30">
        <f t="shared" si="31"/>
        <v>19075435.79626951</v>
      </c>
      <c r="H60" s="30">
        <f t="shared" ref="H60:N60" si="59">IFERROR(H12/$B60,0)</f>
        <v>19075435.79626951</v>
      </c>
      <c r="I60" s="30">
        <f t="shared" si="59"/>
        <v>83941649.868788019</v>
      </c>
      <c r="J60" s="30">
        <f t="shared" si="59"/>
        <v>30096152.513931319</v>
      </c>
      <c r="K60" s="30">
        <f t="shared" si="59"/>
        <v>20406280.154148784</v>
      </c>
      <c r="L60" s="30">
        <f t="shared" si="59"/>
        <v>82520694.040288165</v>
      </c>
      <c r="M60" s="30">
        <f t="shared" si="59"/>
        <v>0</v>
      </c>
      <c r="N60" s="30">
        <f t="shared" si="59"/>
        <v>18581718634.483715</v>
      </c>
      <c r="O60" s="30">
        <f t="shared" si="48"/>
        <v>18581718634.483715</v>
      </c>
    </row>
    <row r="61" spans="1:15" x14ac:dyDescent="0.25">
      <c r="A61" s="29" t="s">
        <v>317</v>
      </c>
      <c r="B61" s="24">
        <v>1</v>
      </c>
      <c r="C61" s="109"/>
      <c r="D61" s="30">
        <f>IFERROR(D18/$B61,0)</f>
        <v>1.114516578434104</v>
      </c>
      <c r="E61" s="30">
        <f>IFERROR(E18/$B61,0)</f>
        <v>749.77632299031086</v>
      </c>
      <c r="F61" s="30">
        <f>IFERROR(F18/$B61,0)</f>
        <v>3887.2377713330575</v>
      </c>
      <c r="G61" s="30">
        <f t="shared" si="31"/>
        <v>1.1125438411394455</v>
      </c>
      <c r="H61" s="30">
        <f t="shared" ref="H61:N61" si="60">IFERROR(H18/$B61,0)</f>
        <v>3887.2377713330575</v>
      </c>
      <c r="I61" s="30">
        <f t="shared" si="60"/>
        <v>19578.206938081421</v>
      </c>
      <c r="J61" s="30">
        <f t="shared" si="60"/>
        <v>6895.5596495154423</v>
      </c>
      <c r="K61" s="30">
        <f t="shared" si="60"/>
        <v>4426.1763413998824</v>
      </c>
      <c r="L61" s="30">
        <f t="shared" si="60"/>
        <v>20140.587647443761</v>
      </c>
      <c r="M61" s="30">
        <f t="shared" si="60"/>
        <v>5.5157198014340865E-4</v>
      </c>
      <c r="N61" s="30">
        <f t="shared" si="60"/>
        <v>4191267.5411579888</v>
      </c>
      <c r="O61" s="30">
        <f t="shared" si="48"/>
        <v>5.5157198007082164E-4</v>
      </c>
    </row>
    <row r="62" spans="1:15" x14ac:dyDescent="0.25">
      <c r="A62" s="29" t="s">
        <v>318</v>
      </c>
      <c r="B62" s="24">
        <v>1.339E-6</v>
      </c>
      <c r="C62" s="109"/>
      <c r="D62" s="30">
        <f>IFERROR(D27/$B62,0)</f>
        <v>0</v>
      </c>
      <c r="E62" s="30">
        <f>IFERROR(E27/$B62,0)</f>
        <v>0</v>
      </c>
      <c r="F62" s="30">
        <f>IFERROR(F27/$B62,0)</f>
        <v>21426248.859192029</v>
      </c>
      <c r="G62" s="30">
        <f t="shared" ref="G62" si="61">IFERROR(SUM(D62:F62),0)</f>
        <v>21426248.859192029</v>
      </c>
      <c r="H62" s="30">
        <f t="shared" ref="H62:N62" si="62">IFERROR(H27/$B62,0)</f>
        <v>21426248.859192029</v>
      </c>
      <c r="I62" s="30">
        <f t="shared" si="62"/>
        <v>63096442.304940499</v>
      </c>
      <c r="J62" s="30">
        <f t="shared" si="62"/>
        <v>29676716.507832181</v>
      </c>
      <c r="K62" s="30">
        <f t="shared" si="62"/>
        <v>22322566.042544689</v>
      </c>
      <c r="L62" s="30">
        <f t="shared" si="62"/>
        <v>15266932.089042822</v>
      </c>
      <c r="M62" s="30">
        <f t="shared" si="62"/>
        <v>0</v>
      </c>
      <c r="N62" s="30">
        <f t="shared" si="62"/>
        <v>13920407643.922272</v>
      </c>
      <c r="O62" s="30">
        <f t="shared" si="48"/>
        <v>13920407643.922272</v>
      </c>
    </row>
    <row r="63" spans="1:15" x14ac:dyDescent="0.25">
      <c r="A63" s="26" t="s">
        <v>35</v>
      </c>
      <c r="B63" s="26" t="s">
        <v>289</v>
      </c>
      <c r="C63" s="110"/>
      <c r="D63" s="27">
        <f>1/SUM(1/D66,1/D68,1/D72,1/D73,1/D75)</f>
        <v>0.78465807658479891</v>
      </c>
      <c r="E63" s="27">
        <f>1/SUM(1/E64,1/E65,1/E66,1/E68,1/E72,1/E73,1/E75)</f>
        <v>350.93708702434907</v>
      </c>
      <c r="F63" s="27">
        <f>1/SUM(1/F64,1/F65,1/F66,1/F67,1/F68,1/F69,1/F70,1/F71,1/F72,1/F73,1/F74,1/F75,1/F76)</f>
        <v>2.0989457377564594E-2</v>
      </c>
      <c r="G63" s="28">
        <f>1/SUM(1/G64,1/G65,1/G66,1/G67,1/G68,1/G69,1/G70,1/G71,1/G72,1/G73,1/G74,1/G75,1/G76)</f>
        <v>2.0441430327544589E-2</v>
      </c>
      <c r="H63" s="27">
        <f t="shared" ref="H63:O63" si="63">1/SUM(1/H64,1/H65,1/H66,1/H67,1/H68,1/H69,1/H70,1/H71,1/H72,1/H73,1/H74,1/H75,1/H76)</f>
        <v>2.0989457377564594E-2</v>
      </c>
      <c r="I63" s="27">
        <f t="shared" si="63"/>
        <v>0.11264648426753045</v>
      </c>
      <c r="J63" s="27">
        <f t="shared" si="63"/>
        <v>3.9398482117573956E-2</v>
      </c>
      <c r="K63" s="27">
        <f t="shared" si="63"/>
        <v>2.4743570209296833E-2</v>
      </c>
      <c r="L63" s="27">
        <f t="shared" si="63"/>
        <v>0.11565546375797897</v>
      </c>
      <c r="M63" s="27">
        <f>1/SUM(1/M64,1/M65,1/M66,1/M68,1/M72,1/M73,1/M75)</f>
        <v>2.581664131827771E-4</v>
      </c>
      <c r="N63" s="27">
        <f t="shared" si="63"/>
        <v>22.68398947821434</v>
      </c>
      <c r="O63" s="28">
        <f t="shared" si="63"/>
        <v>2.5816347502507668E-4</v>
      </c>
    </row>
    <row r="64" spans="1:15" x14ac:dyDescent="0.25">
      <c r="A64" s="29" t="s">
        <v>306</v>
      </c>
      <c r="B64" s="34">
        <v>1</v>
      </c>
      <c r="C64" s="2"/>
      <c r="D64" s="30">
        <f>IFERROR(D25/$B50,0)</f>
        <v>0</v>
      </c>
      <c r="E64" s="30">
        <f>IFERROR(E25/$B50,0)</f>
        <v>4769629.7318646796</v>
      </c>
      <c r="F64" s="30">
        <f>IFERROR(F25/$B50,0)</f>
        <v>103.48095032652139</v>
      </c>
      <c r="G64" s="30">
        <f t="shared" ref="G64:G76" si="64">IF(AND(D64&lt;&gt;0,E64&lt;&gt;0,F64&lt;&gt;0),1/((1/D64)+(1/E64)+(1/F64)),IF(AND(D64&lt;&gt;0,E64&lt;&gt;0,F64=0), 1/((1/D64)+(1/E64)),IF(AND(D64&lt;&gt;0,E64=0,F64&lt;&gt;0),1/((1/D64)+(1/F64)),IF(AND(D64=0,E64&lt;&gt;0,F64&lt;&gt;0),1/((1/E64)+(1/F64)),IF(AND(D64&lt;&gt;0,E64=0,F64=0),1/((1/D64)),IF(AND(D64=0,E64&lt;&gt;0,F64=0),1/((1/E64)),IF(AND(D64=0,E64=0,F64&lt;&gt;0),1/((1/F64)),IF(AND(D64=0,E64=0,F64=0),0))))))))</f>
        <v>103.47870527284591</v>
      </c>
      <c r="H64" s="30">
        <f t="shared" ref="H64:N64" si="65">IFERROR(H25/$B50,0)</f>
        <v>103.48095032652139</v>
      </c>
      <c r="I64" s="30">
        <f t="shared" si="65"/>
        <v>490.99272897073286</v>
      </c>
      <c r="J64" s="30">
        <f t="shared" si="65"/>
        <v>173.98814700076068</v>
      </c>
      <c r="K64" s="30">
        <f t="shared" si="65"/>
        <v>113.67225604049698</v>
      </c>
      <c r="L64" s="30">
        <f t="shared" si="65"/>
        <v>500.15792657818673</v>
      </c>
      <c r="M64" s="30">
        <f t="shared" si="65"/>
        <v>3.5087719298245617</v>
      </c>
      <c r="N64" s="30">
        <f t="shared" si="65"/>
        <v>107947.75393773813</v>
      </c>
      <c r="O64" s="30">
        <f t="shared" ref="O64:O76" si="66">IFERROR(IF(AND(M64&lt;&gt;0,N64&lt;&gt;0),1/((1/M64)+(1/N64)),IF(AND(M64&lt;&gt;0,N64=0),1/((1/M64)),IF(AND(M64=0,N64&lt;&gt;0),1/((1/N64)),IF(AND(M64=0,N64=0),0)))),0)</f>
        <v>3.5086578831691866</v>
      </c>
    </row>
    <row r="65" spans="1:15" x14ac:dyDescent="0.25">
      <c r="A65" s="29" t="s">
        <v>307</v>
      </c>
      <c r="B65" s="34">
        <v>1</v>
      </c>
      <c r="C65" s="2"/>
      <c r="D65" s="30">
        <f>IFERROR(D21/$B51,0)</f>
        <v>0</v>
      </c>
      <c r="E65" s="30">
        <f>IFERROR(E21/$B51,0)</f>
        <v>782356.53155765973</v>
      </c>
      <c r="F65" s="30">
        <f>IFERROR(F21/$B51,0)</f>
        <v>28450394.003309824</v>
      </c>
      <c r="G65" s="30">
        <f t="shared" si="64"/>
        <v>761418.31222243607</v>
      </c>
      <c r="H65" s="30">
        <f t="shared" ref="H65:N65" si="67">IFERROR(H21/$B51,0)</f>
        <v>28450394.003309824</v>
      </c>
      <c r="I65" s="30">
        <f t="shared" si="67"/>
        <v>61656549.134391837</v>
      </c>
      <c r="J65" s="30">
        <f t="shared" si="67"/>
        <v>32562365.011600692</v>
      </c>
      <c r="K65" s="30">
        <f t="shared" si="67"/>
        <v>28547826.859485544</v>
      </c>
      <c r="L65" s="30">
        <f t="shared" si="67"/>
        <v>36722314.726739116</v>
      </c>
      <c r="M65" s="30">
        <f t="shared" si="67"/>
        <v>0.57553956834532372</v>
      </c>
      <c r="N65" s="30">
        <f t="shared" si="67"/>
        <v>4439271537.6762133</v>
      </c>
      <c r="O65" s="30">
        <f t="shared" si="66"/>
        <v>0.57553956827070651</v>
      </c>
    </row>
    <row r="66" spans="1:15" x14ac:dyDescent="0.25">
      <c r="A66" s="29" t="s">
        <v>308</v>
      </c>
      <c r="B66" s="35">
        <v>0.99980000000000002</v>
      </c>
      <c r="C66" s="2"/>
      <c r="D66" s="30">
        <f>IFERROR(D17/$B52,0)</f>
        <v>7257.029131202622</v>
      </c>
      <c r="E66" s="30">
        <f>IFERROR(E17/$B52,0)</f>
        <v>139986.24420703278</v>
      </c>
      <c r="F66" s="30">
        <f>IFERROR(F17/$B52,0)</f>
        <v>0.17635416386856217</v>
      </c>
      <c r="G66" s="30">
        <f t="shared" si="64"/>
        <v>0.17634965620420295</v>
      </c>
      <c r="H66" s="30">
        <f t="shared" ref="H66:N66" si="68">IFERROR(H17/$B52,0)</f>
        <v>0.17635416386856217</v>
      </c>
      <c r="I66" s="30">
        <f t="shared" si="68"/>
        <v>0.77519314799662409</v>
      </c>
      <c r="J66" s="30">
        <f t="shared" si="68"/>
        <v>0.27833344482964845</v>
      </c>
      <c r="K66" s="30">
        <f t="shared" si="68"/>
        <v>0.18830287760620629</v>
      </c>
      <c r="L66" s="30">
        <f t="shared" si="68"/>
        <v>0.78574551545626403</v>
      </c>
      <c r="M66" s="30">
        <f t="shared" si="68"/>
        <v>0.10298069909992295</v>
      </c>
      <c r="N66" s="30">
        <f t="shared" si="68"/>
        <v>171.90995813533382</v>
      </c>
      <c r="O66" s="30">
        <f t="shared" si="66"/>
        <v>0.10291904661924929</v>
      </c>
    </row>
    <row r="67" spans="1:15" x14ac:dyDescent="0.25">
      <c r="A67" s="29" t="s">
        <v>309</v>
      </c>
      <c r="B67" s="34">
        <v>2.0000000000000001E-4</v>
      </c>
      <c r="C67" s="2"/>
      <c r="D67" s="30">
        <f>IFERROR(D5/$B53,0)</f>
        <v>0</v>
      </c>
      <c r="E67" s="30">
        <f>IFERROR(E5/$B53,0)</f>
        <v>0</v>
      </c>
      <c r="F67" s="30">
        <f>IFERROR(F5/$B53,0)</f>
        <v>35472193.374339476</v>
      </c>
      <c r="G67" s="30">
        <f t="shared" si="64"/>
        <v>35472193.374339476</v>
      </c>
      <c r="H67" s="30">
        <f t="shared" ref="H67:N67" si="69">IFERROR(H5/$B53,0)</f>
        <v>35472193.374339476</v>
      </c>
      <c r="I67" s="30">
        <f t="shared" si="69"/>
        <v>116035153.71617173</v>
      </c>
      <c r="J67" s="30">
        <f t="shared" si="69"/>
        <v>52792688.04920695</v>
      </c>
      <c r="K67" s="30">
        <f t="shared" si="69"/>
        <v>38063769.145980708</v>
      </c>
      <c r="L67" s="30">
        <f t="shared" si="69"/>
        <v>48748335.923799865</v>
      </c>
      <c r="M67" s="30">
        <f t="shared" si="69"/>
        <v>0</v>
      </c>
      <c r="N67" s="30">
        <f t="shared" si="69"/>
        <v>28418064010.124237</v>
      </c>
      <c r="O67" s="30">
        <f t="shared" si="66"/>
        <v>28418064010.124237</v>
      </c>
    </row>
    <row r="68" spans="1:15" x14ac:dyDescent="0.25">
      <c r="A68" s="29" t="s">
        <v>310</v>
      </c>
      <c r="B68" s="34">
        <v>0.99999979999999999</v>
      </c>
      <c r="C68" s="2"/>
      <c r="D68" s="30">
        <f>IFERROR(D9/$B54,0)</f>
        <v>10865.138666304931</v>
      </c>
      <c r="E68" s="30">
        <f>IFERROR(E9/$B54,0)</f>
        <v>175966.95733985538</v>
      </c>
      <c r="F68" s="30">
        <f>IFERROR(F9/$B54,0)</f>
        <v>2.3854913828765908E-2</v>
      </c>
      <c r="G68" s="30">
        <f t="shared" si="64"/>
        <v>2.3854858220445255E-2</v>
      </c>
      <c r="H68" s="30">
        <f t="shared" ref="H68:N68" si="70">IFERROR(H9/$B54,0)</f>
        <v>2.3854913828765908E-2</v>
      </c>
      <c r="I68" s="30">
        <f t="shared" si="70"/>
        <v>0.13208398590047324</v>
      </c>
      <c r="J68" s="30">
        <f t="shared" si="70"/>
        <v>4.5970406857517646E-2</v>
      </c>
      <c r="K68" s="30">
        <f t="shared" si="70"/>
        <v>2.8526123190672551E-2</v>
      </c>
      <c r="L68" s="30">
        <f t="shared" si="70"/>
        <v>0.13640673452994326</v>
      </c>
      <c r="M68" s="30">
        <f t="shared" si="70"/>
        <v>0.12944986407767506</v>
      </c>
      <c r="N68" s="30">
        <f t="shared" si="70"/>
        <v>26.186284115695916</v>
      </c>
      <c r="O68" s="30">
        <f t="shared" si="66"/>
        <v>0.12881308657708898</v>
      </c>
    </row>
    <row r="69" spans="1:15" x14ac:dyDescent="0.25">
      <c r="A69" s="29" t="s">
        <v>311</v>
      </c>
      <c r="B69" s="34">
        <v>1.9999999999999999E-7</v>
      </c>
      <c r="C69" s="2"/>
      <c r="D69" s="30">
        <f>IFERROR(D24/$B55,0)</f>
        <v>0</v>
      </c>
      <c r="E69" s="30">
        <f>IFERROR(E24/$B55,0)</f>
        <v>0</v>
      </c>
      <c r="F69" s="30">
        <f>IFERROR(F24/$B55,0)</f>
        <v>258702375.81630349</v>
      </c>
      <c r="G69" s="30">
        <f t="shared" si="64"/>
        <v>258702375.81630349</v>
      </c>
      <c r="H69" s="30">
        <f t="shared" ref="H69:N69" si="71">IFERROR(H24/$B55,0)</f>
        <v>258702375.81630349</v>
      </c>
      <c r="I69" s="30">
        <f t="shared" si="71"/>
        <v>1257099346.2923591</v>
      </c>
      <c r="J69" s="30">
        <f t="shared" si="71"/>
        <v>446569577.30195242</v>
      </c>
      <c r="K69" s="30">
        <f t="shared" si="71"/>
        <v>288552649.94895381</v>
      </c>
      <c r="L69" s="30">
        <f t="shared" si="71"/>
        <v>1286855728.7603428</v>
      </c>
      <c r="M69" s="30">
        <f t="shared" si="71"/>
        <v>0</v>
      </c>
      <c r="N69" s="30">
        <f t="shared" si="71"/>
        <v>274812047570.43219</v>
      </c>
      <c r="O69" s="30">
        <f t="shared" si="66"/>
        <v>274812047570.43219</v>
      </c>
    </row>
    <row r="70" spans="1:15" x14ac:dyDescent="0.25">
      <c r="A70" s="29" t="s">
        <v>312</v>
      </c>
      <c r="B70" s="34">
        <v>0.99979000004200003</v>
      </c>
      <c r="C70" s="2"/>
      <c r="D70" s="30">
        <f>IFERROR(D20/$B56,0)</f>
        <v>0</v>
      </c>
      <c r="E70" s="30">
        <f>IFERROR(E20/$B56,0)</f>
        <v>0</v>
      </c>
      <c r="F70" s="30">
        <f>IFERROR(F20/$B56,0)</f>
        <v>454.78452889395464</v>
      </c>
      <c r="G70" s="30">
        <f t="shared" si="64"/>
        <v>454.78452889395464</v>
      </c>
      <c r="H70" s="30">
        <f t="shared" ref="H70:N70" si="72">IFERROR(H20/$B56,0)</f>
        <v>454.78452889395464</v>
      </c>
      <c r="I70" s="30">
        <f t="shared" si="72"/>
        <v>2299.002673636719</v>
      </c>
      <c r="J70" s="30">
        <f t="shared" si="72"/>
        <v>815.64616595111431</v>
      </c>
      <c r="K70" s="30">
        <f t="shared" si="72"/>
        <v>519.30413333911781</v>
      </c>
      <c r="L70" s="30">
        <f t="shared" si="72"/>
        <v>2359.7310461478778</v>
      </c>
      <c r="M70" s="30">
        <f t="shared" si="72"/>
        <v>0</v>
      </c>
      <c r="N70" s="30">
        <f t="shared" si="72"/>
        <v>490453.90370916674</v>
      </c>
      <c r="O70" s="30">
        <f t="shared" si="66"/>
        <v>490453.90370916674</v>
      </c>
    </row>
    <row r="71" spans="1:15" x14ac:dyDescent="0.25">
      <c r="A71" s="29" t="s">
        <v>313</v>
      </c>
      <c r="B71" s="34">
        <v>2.0999995799999999E-4</v>
      </c>
      <c r="C71" s="2"/>
      <c r="D71" s="30">
        <f>IFERROR(D29/$B57,0)</f>
        <v>0</v>
      </c>
      <c r="E71" s="30">
        <f>IFERROR(E29/$B57,0)</f>
        <v>0</v>
      </c>
      <c r="F71" s="30">
        <f>IFERROR(F29/$B57,0)</f>
        <v>62.131431876992792</v>
      </c>
      <c r="G71" s="30">
        <f t="shared" si="64"/>
        <v>62.131431876992785</v>
      </c>
      <c r="H71" s="30">
        <f t="shared" ref="H71:N71" si="73">IFERROR(H29/$B57,0)</f>
        <v>62.131431876992792</v>
      </c>
      <c r="I71" s="30">
        <f t="shared" si="73"/>
        <v>335.7666666284855</v>
      </c>
      <c r="J71" s="30">
        <f t="shared" si="73"/>
        <v>117.20988625088866</v>
      </c>
      <c r="K71" s="30">
        <f t="shared" si="73"/>
        <v>73.433860902920571</v>
      </c>
      <c r="L71" s="30">
        <f t="shared" si="73"/>
        <v>346.85022649777534</v>
      </c>
      <c r="M71" s="30">
        <f t="shared" si="73"/>
        <v>0</v>
      </c>
      <c r="N71" s="30">
        <f t="shared" si="73"/>
        <v>67406.742130699728</v>
      </c>
      <c r="O71" s="30">
        <f t="shared" si="66"/>
        <v>67406.742130699728</v>
      </c>
    </row>
    <row r="72" spans="1:15" x14ac:dyDescent="0.25">
      <c r="A72" s="29" t="s">
        <v>314</v>
      </c>
      <c r="B72" s="34">
        <v>1</v>
      </c>
      <c r="C72" s="2"/>
      <c r="D72" s="30">
        <f>IFERROR(D16/$B58,0)</f>
        <v>2.6693360026693358</v>
      </c>
      <c r="E72" s="30">
        <f>IFERROR(E16/$B58,0)</f>
        <v>685.11029979534248</v>
      </c>
      <c r="F72" s="30">
        <f>IFERROR(F16/$B58,0)</f>
        <v>118.14754171138269</v>
      </c>
      <c r="G72" s="30">
        <f t="shared" si="64"/>
        <v>2.6004514594177008</v>
      </c>
      <c r="H72" s="30">
        <f t="shared" ref="H72:N72" si="74">IFERROR(H16/$B58,0)</f>
        <v>118.14754171138269</v>
      </c>
      <c r="I72" s="30">
        <f t="shared" si="74"/>
        <v>183.88159065374509</v>
      </c>
      <c r="J72" s="30">
        <f t="shared" si="74"/>
        <v>119.46447290880255</v>
      </c>
      <c r="K72" s="30">
        <f t="shared" si="74"/>
        <v>118.14754171138269</v>
      </c>
      <c r="L72" s="30">
        <f t="shared" si="74"/>
        <v>102.07304624044625</v>
      </c>
      <c r="M72" s="30">
        <f t="shared" si="74"/>
        <v>5.0400050400050398E-4</v>
      </c>
      <c r="N72" s="30">
        <f t="shared" si="74"/>
        <v>44524.444502509206</v>
      </c>
      <c r="O72" s="30">
        <f t="shared" si="66"/>
        <v>5.0400049829540179E-4</v>
      </c>
    </row>
    <row r="73" spans="1:15" x14ac:dyDescent="0.25">
      <c r="A73" s="29" t="s">
        <v>315</v>
      </c>
      <c r="B73" s="34">
        <v>1</v>
      </c>
      <c r="C73" s="2"/>
      <c r="D73" s="30">
        <f>IFERROR(D7/$B59,0)</f>
        <v>428.15092320042817</v>
      </c>
      <c r="E73" s="30">
        <f>IFERROR(E7/$B59,0)</f>
        <v>23895.31045627658</v>
      </c>
      <c r="F73" s="30">
        <f>IFERROR(F7/$B59,0)</f>
        <v>63.311129946605895</v>
      </c>
      <c r="G73" s="30">
        <f t="shared" si="64"/>
        <v>55.02824643174489</v>
      </c>
      <c r="H73" s="30">
        <f t="shared" ref="H73:N73" si="75">IFERROR(H7/$B59,0)</f>
        <v>63.311129946605895</v>
      </c>
      <c r="I73" s="30">
        <f t="shared" si="75"/>
        <v>183.5217440966928</v>
      </c>
      <c r="J73" s="30">
        <f t="shared" si="75"/>
        <v>85.254192030372721</v>
      </c>
      <c r="K73" s="30">
        <f t="shared" si="75"/>
        <v>65.237990423241754</v>
      </c>
      <c r="L73" s="30">
        <f t="shared" si="75"/>
        <v>36.331084255074089</v>
      </c>
      <c r="M73" s="30">
        <f t="shared" si="75"/>
        <v>1.757855416392002E-2</v>
      </c>
      <c r="N73" s="30">
        <f t="shared" si="75"/>
        <v>33123.04149524415</v>
      </c>
      <c r="O73" s="30">
        <f t="shared" si="66"/>
        <v>1.7578544834903464E-2</v>
      </c>
    </row>
    <row r="74" spans="1:15" x14ac:dyDescent="0.25">
      <c r="A74" s="29" t="s">
        <v>316</v>
      </c>
      <c r="B74" s="36">
        <v>1.9000000000000001E-8</v>
      </c>
      <c r="C74" s="2"/>
      <c r="D74" s="30">
        <f>IFERROR(D12/$B60,0)</f>
        <v>0</v>
      </c>
      <c r="E74" s="30">
        <f>IFERROR(E12/$B60,0)</f>
        <v>0</v>
      </c>
      <c r="F74" s="30">
        <f>IFERROR(F12/$B60,0)</f>
        <v>19075435.79626951</v>
      </c>
      <c r="G74" s="30">
        <f t="shared" si="64"/>
        <v>19075435.79626951</v>
      </c>
      <c r="H74" s="30">
        <f t="shared" ref="H74:N74" si="76">IFERROR(H12/$B60,0)</f>
        <v>19075435.79626951</v>
      </c>
      <c r="I74" s="30">
        <f t="shared" si="76"/>
        <v>83941649.868788019</v>
      </c>
      <c r="J74" s="30">
        <f t="shared" si="76"/>
        <v>30096152.513931319</v>
      </c>
      <c r="K74" s="30">
        <f t="shared" si="76"/>
        <v>20406280.154148784</v>
      </c>
      <c r="L74" s="30">
        <f t="shared" si="76"/>
        <v>82520694.040288165</v>
      </c>
      <c r="M74" s="30">
        <f t="shared" si="76"/>
        <v>0</v>
      </c>
      <c r="N74" s="30">
        <f t="shared" si="76"/>
        <v>18581718634.483715</v>
      </c>
      <c r="O74" s="30">
        <f t="shared" si="66"/>
        <v>18581718634.483715</v>
      </c>
    </row>
    <row r="75" spans="1:15" x14ac:dyDescent="0.25">
      <c r="A75" s="29" t="s">
        <v>317</v>
      </c>
      <c r="B75" s="34">
        <v>1</v>
      </c>
      <c r="C75" s="2"/>
      <c r="D75" s="30">
        <f>IFERROR(D18/$B61,0)</f>
        <v>1.114516578434104</v>
      </c>
      <c r="E75" s="30">
        <f>IFERROR(E18/$B61,0)</f>
        <v>749.77632299031086</v>
      </c>
      <c r="F75" s="30">
        <f>IFERROR(F18/$B61,0)</f>
        <v>3887.2377713330575</v>
      </c>
      <c r="G75" s="30">
        <f t="shared" si="64"/>
        <v>1.1125438411394455</v>
      </c>
      <c r="H75" s="30">
        <f t="shared" ref="H75:N75" si="77">IFERROR(H18/$B61,0)</f>
        <v>3887.2377713330575</v>
      </c>
      <c r="I75" s="30">
        <f t="shared" si="77"/>
        <v>19578.206938081421</v>
      </c>
      <c r="J75" s="30">
        <f t="shared" si="77"/>
        <v>6895.5596495154423</v>
      </c>
      <c r="K75" s="30">
        <f t="shared" si="77"/>
        <v>4426.1763413998824</v>
      </c>
      <c r="L75" s="30">
        <f t="shared" si="77"/>
        <v>20140.587647443761</v>
      </c>
      <c r="M75" s="30">
        <f t="shared" si="77"/>
        <v>5.5157198014340865E-4</v>
      </c>
      <c r="N75" s="30">
        <f t="shared" si="77"/>
        <v>4191267.5411579888</v>
      </c>
      <c r="O75" s="30">
        <f t="shared" si="66"/>
        <v>5.5157198007082164E-4</v>
      </c>
    </row>
    <row r="76" spans="1:15" x14ac:dyDescent="0.25">
      <c r="A76" s="29" t="s">
        <v>318</v>
      </c>
      <c r="B76" s="34">
        <v>1.339E-6</v>
      </c>
      <c r="C76" s="2"/>
      <c r="D76" s="30">
        <f>IFERROR(D27/$B62,0)</f>
        <v>0</v>
      </c>
      <c r="E76" s="30">
        <f>IFERROR(E27/$B62,0)</f>
        <v>0</v>
      </c>
      <c r="F76" s="30">
        <f>IFERROR(F27/$B62,0)</f>
        <v>21426248.859192029</v>
      </c>
      <c r="G76" s="30">
        <f t="shared" si="64"/>
        <v>21426248.859192029</v>
      </c>
      <c r="H76" s="30">
        <f t="shared" ref="H76:N76" si="78">IFERROR(H27/$B62,0)</f>
        <v>21426248.859192029</v>
      </c>
      <c r="I76" s="30">
        <f t="shared" si="78"/>
        <v>63096442.304940499</v>
      </c>
      <c r="J76" s="30">
        <f t="shared" si="78"/>
        <v>29676716.507832181</v>
      </c>
      <c r="K76" s="30">
        <f t="shared" si="78"/>
        <v>22322566.042544689</v>
      </c>
      <c r="L76" s="30">
        <f t="shared" si="78"/>
        <v>15266932.089042822</v>
      </c>
      <c r="M76" s="30">
        <f t="shared" si="78"/>
        <v>0</v>
      </c>
      <c r="N76" s="30">
        <f t="shared" si="78"/>
        <v>13920407643.922272</v>
      </c>
      <c r="O76" s="30">
        <f t="shared" si="66"/>
        <v>13920407643.922272</v>
      </c>
    </row>
  </sheetData>
  <sheetProtection algorithmName="SHA-512" hashValue="Mc8pgLArSosmb5X21GnF3QdYuRfhNidtc+o3izhOwm9JLHkrAflhXz0R8HotoVpoHXDEsSHtbYijjlfeS4Hi7A==" saltValue="YJTnIfM8XYJgdB0sIzGK6Q==" spinCount="100000" sheet="1" objects="1" scenarios="1" formatColumns="0" formatRows="0" autoFilter="0"/>
  <autoFilter ref="A1:O76" xr:uid="{00000000-0009-0000-0000-00000B000000}"/>
  <pageMargins left="0.7" right="0.7" top="0.75" bottom="0.75" header="0.3" footer="0.3"/>
  <pageSetup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7">
    <tabColor theme="9" tint="-0.499984740745262"/>
  </sheetPr>
  <dimension ref="A1:AV76"/>
  <sheetViews>
    <sheetView zoomScale="90" zoomScaleNormal="90" workbookViewId="0">
      <pane xSplit="2" ySplit="1" topLeftCell="C2" activePane="bottomRight" state="frozen"/>
      <selection activeCell="AA1390" sqref="AA1390"/>
      <selection pane="topRight" activeCell="AA1390" sqref="AA1390"/>
      <selection pane="bottomLeft" activeCell="AA1390" sqref="AA1390"/>
      <selection pane="bottomRight" activeCell="C2" sqref="C2"/>
    </sheetView>
  </sheetViews>
  <sheetFormatPr defaultColWidth="9.140625" defaultRowHeight="15" x14ac:dyDescent="0.25"/>
  <cols>
    <col min="1" max="1" width="15.42578125" style="3" customWidth="1"/>
    <col min="2" max="2" width="13.28515625" style="3" bestFit="1" customWidth="1"/>
    <col min="3" max="3" width="13.28515625" style="3" customWidth="1"/>
    <col min="4" max="4" width="14.42578125" style="2" bestFit="1" customWidth="1"/>
    <col min="5" max="5" width="14.5703125" style="2" bestFit="1" customWidth="1"/>
    <col min="6" max="6" width="14.28515625" style="2" bestFit="1" customWidth="1"/>
    <col min="7" max="9" width="14.140625" style="2" bestFit="1" customWidth="1"/>
    <col min="10" max="10" width="14" style="2" bestFit="1" customWidth="1"/>
    <col min="11" max="12" width="14.5703125" style="2" bestFit="1" customWidth="1"/>
    <col min="13" max="13" width="14.42578125" style="2" bestFit="1" customWidth="1"/>
    <col min="14" max="14" width="14.28515625" style="2" bestFit="1" customWidth="1"/>
    <col min="15" max="15" width="18.28515625" style="2" bestFit="1" customWidth="1"/>
    <col min="16" max="16" width="18.42578125" style="2" bestFit="1" customWidth="1"/>
    <col min="17" max="17" width="18.140625" style="2" bestFit="1" customWidth="1"/>
    <col min="18" max="18" width="17.85546875" style="2" bestFit="1" customWidth="1"/>
    <col min="19" max="21" width="17.7109375" style="2" bestFit="1" customWidth="1"/>
    <col min="22" max="24" width="18.28515625" style="2" bestFit="1" customWidth="1"/>
    <col min="25" max="25" width="18.140625" style="2" bestFit="1" customWidth="1"/>
    <col min="26" max="26" width="13.5703125" style="2" bestFit="1" customWidth="1"/>
    <col min="27" max="28" width="15.42578125" style="2" bestFit="1" customWidth="1"/>
    <col min="29" max="29" width="16.42578125" style="2" bestFit="1" customWidth="1"/>
    <col min="30" max="30" width="13.85546875" style="2" bestFit="1" customWidth="1"/>
    <col min="31" max="31" width="13.140625" style="2" bestFit="1" customWidth="1"/>
    <col min="32" max="33" width="14.85546875" style="2" bestFit="1" customWidth="1"/>
    <col min="34" max="34" width="16" style="2" bestFit="1" customWidth="1"/>
    <col min="35" max="36" width="13.5703125" style="2" bestFit="1" customWidth="1"/>
    <col min="37" max="38" width="15.42578125" style="2" bestFit="1" customWidth="1"/>
    <col min="39" max="39" width="16.42578125" style="2" bestFit="1" customWidth="1"/>
    <col min="40" max="40" width="14.140625" style="2" bestFit="1" customWidth="1"/>
    <col min="41" max="41" width="13.85546875" style="2" bestFit="1" customWidth="1"/>
    <col min="42" max="42" width="14.140625" style="2" bestFit="1" customWidth="1"/>
    <col min="43" max="43" width="13.28515625" style="2" bestFit="1" customWidth="1"/>
    <col min="44" max="44" width="13.42578125" style="2" bestFit="1" customWidth="1"/>
    <col min="45" max="45" width="13.85546875" style="2" bestFit="1" customWidth="1"/>
    <col min="46" max="46" width="14" style="2" bestFit="1" customWidth="1"/>
    <col min="47" max="47" width="14.28515625" style="2" bestFit="1" customWidth="1"/>
    <col min="48" max="48" width="13.7109375" style="2" bestFit="1" customWidth="1"/>
    <col min="49" max="16384" width="9.140625" style="2"/>
  </cols>
  <sheetData>
    <row r="1" spans="1:48" x14ac:dyDescent="0.25">
      <c r="A1" s="21" t="s">
        <v>51</v>
      </c>
      <c r="B1" s="21" t="s">
        <v>274</v>
      </c>
      <c r="C1" s="108"/>
      <c r="D1" s="22" t="s">
        <v>341</v>
      </c>
      <c r="E1" s="22" t="s">
        <v>342</v>
      </c>
      <c r="F1" s="22" t="s">
        <v>343</v>
      </c>
      <c r="G1" s="22" t="s">
        <v>344</v>
      </c>
      <c r="H1" s="39" t="s">
        <v>353</v>
      </c>
      <c r="I1" s="39" t="s">
        <v>354</v>
      </c>
      <c r="J1" s="39" t="s">
        <v>355</v>
      </c>
      <c r="K1" s="40" t="s">
        <v>356</v>
      </c>
      <c r="L1" s="40" t="s">
        <v>357</v>
      </c>
      <c r="M1" s="40" t="s">
        <v>358</v>
      </c>
      <c r="N1" s="40" t="s">
        <v>359</v>
      </c>
      <c r="O1" s="22" t="s">
        <v>360</v>
      </c>
      <c r="P1" s="22" t="s">
        <v>361</v>
      </c>
      <c r="Q1" s="22" t="s">
        <v>362</v>
      </c>
      <c r="R1" s="22" t="s">
        <v>363</v>
      </c>
      <c r="S1" s="39" t="s">
        <v>364</v>
      </c>
      <c r="T1" s="39" t="s">
        <v>365</v>
      </c>
      <c r="U1" s="39" t="s">
        <v>366</v>
      </c>
      <c r="V1" s="40" t="s">
        <v>367</v>
      </c>
      <c r="W1" s="40" t="s">
        <v>368</v>
      </c>
      <c r="X1" s="40" t="s">
        <v>369</v>
      </c>
      <c r="Y1" s="40" t="s">
        <v>370</v>
      </c>
      <c r="Z1" s="22" t="s">
        <v>345</v>
      </c>
      <c r="AA1" s="24" t="s">
        <v>346</v>
      </c>
      <c r="AB1" s="24" t="s">
        <v>347</v>
      </c>
      <c r="AC1" s="24" t="s">
        <v>348</v>
      </c>
      <c r="AD1" s="24" t="s">
        <v>349</v>
      </c>
      <c r="AE1" s="41" t="s">
        <v>371</v>
      </c>
      <c r="AF1" s="41" t="s">
        <v>372</v>
      </c>
      <c r="AG1" s="41" t="s">
        <v>373</v>
      </c>
      <c r="AH1" s="41" t="s">
        <v>374</v>
      </c>
      <c r="AI1" s="41" t="s">
        <v>375</v>
      </c>
      <c r="AJ1" s="42" t="s">
        <v>376</v>
      </c>
      <c r="AK1" s="42" t="s">
        <v>377</v>
      </c>
      <c r="AL1" s="42" t="s">
        <v>378</v>
      </c>
      <c r="AM1" s="42" t="s">
        <v>379</v>
      </c>
      <c r="AN1" s="42" t="s">
        <v>380</v>
      </c>
      <c r="AO1" s="24" t="s">
        <v>350</v>
      </c>
      <c r="AP1" s="24" t="s">
        <v>351</v>
      </c>
      <c r="AQ1" s="24" t="s">
        <v>352</v>
      </c>
      <c r="AR1" s="41" t="s">
        <v>381</v>
      </c>
      <c r="AS1" s="41" t="s">
        <v>382</v>
      </c>
      <c r="AT1" s="42" t="s">
        <v>383</v>
      </c>
      <c r="AU1" s="42" t="s">
        <v>384</v>
      </c>
      <c r="AV1" s="42" t="s">
        <v>385</v>
      </c>
    </row>
    <row r="2" spans="1:48" x14ac:dyDescent="0.25">
      <c r="A2" s="23" t="s">
        <v>12</v>
      </c>
      <c r="B2" s="24" t="s">
        <v>289</v>
      </c>
      <c r="C2" s="2"/>
      <c r="D2" s="22">
        <f>IFERROR((TR/(RadSpec!I2*EF_cw*ED_con*IRS_cw*(1/1000)))*1,".")</f>
        <v>134.26242934439654</v>
      </c>
      <c r="E2" s="22">
        <f>IFERROR(IF(A2="H-3",(TR/(RadSpec!G2*EF_cw*ED_con*ET_cw_o*(1/24)*IRA_cw*(1/17)*1000))*1,(TR/(RadSpec!G2*EF_cw*ED_con*ET_cw_o*(1/24)*IRA_cw*(1/PEFsc)*1000))*1),".")</f>
        <v>5.4343187775069373</v>
      </c>
      <c r="F2" s="22">
        <f>IFERROR((TR/(RadSpec!F2*EF_cw*(1/365)*ED_con*def_acf!D2*ET_cw_o*(1/24)*RadSpec!V2))*1,".")</f>
        <v>1141.9130743794221</v>
      </c>
      <c r="G2" s="22">
        <f t="shared" ref="G2" si="0">(IF(AND(ISNUMBER(D2),ISNUMBER(E2),ISNUMBER(F2)),1/((1/D2)+(1/E2)+(1/F2)),IF(AND(ISNUMBER(D2),ISNUMBER(E2),NOT(ISNUMBER(F2))), 1/((1/D2)+(1/E2)),IF(AND(ISNUMBER(D2),NOT(ISNUMBER(E2)),ISNUMBER(F2)),1/((1/D2)+(1/F2)),IF(AND(NOT(ISNUMBER(D2)),ISNUMBER(E2),ISNUMBER(F2)),1/((1/E2)+(1/F2)),IF(AND(ISNUMBER(D2),NOT(ISNUMBER(E2)),NOT(ISNUMBER(F2))),1/((1/D2)),IF(AND(NOT(ISNUMBER(D2)),NOT(ISNUMBER(E2)),ISNUMBER(F2)),1/((1/F2)),IF(AND(NOT(ISNUMBER(D2)),ISNUMBER(E2),NOT(ISNUMBER(F2))),1/((1/E2)),IF(AND(NOT(ISNUMBER(D2)),NOT(ISNUMBER(E2)),NOT(ISNUMBER(F2))),".")))))))))</f>
        <v>5.1991392997133383</v>
      </c>
      <c r="H2" s="43">
        <f t="shared" ref="H2:H30" si="1">C_*EF_cw*ED_con*IRS_cw*(1/1000)*1</f>
        <v>82.5</v>
      </c>
      <c r="I2" s="43">
        <f t="shared" ref="I2:I30" si="2">C_*EF_cw*ED_con*(ET_cw_i+ET_cw_o)*(1/24)*IRA_cw*(1/PEFsc)*1000*1</f>
        <v>6.4422246467249371</v>
      </c>
      <c r="J2" s="43">
        <f>C_*EF_cw*(1/365)*ED_con*(ET_cw_i+ET_cw_o)*(1/24)*RadSpec!U2*def_acf!D2*1</f>
        <v>2.1246458923512741E-2</v>
      </c>
      <c r="K2" s="11"/>
      <c r="L2" s="11"/>
      <c r="M2" s="11"/>
      <c r="N2" s="11"/>
      <c r="O2" s="22">
        <f>IFERROR((TR/(RadSpec!I2*EF_cw*ED_con*IRS_cw*(1/1000)))*1,".")</f>
        <v>134.26242934439654</v>
      </c>
      <c r="P2" s="22">
        <f>IFERROR(IF(A2="H-3",(TR/(RadSpec!G2*EF_cw*ED_con*ET_cw_o*(1/24)*IRA_cw*(1/17)*1000))*1,(TR/(RadSpec!G2*EF_cw*ED_con*ET_cw_o*(1/24)*IRA_cw*(1/PEF__sc)*1000))*1),".")</f>
        <v>831.01857365311923</v>
      </c>
      <c r="Q2" s="22">
        <f>IFERROR((TR/(RadSpec!F2*EF_cw*(1/365)*ED_con*def_acf!D2*ET_cw_o*(1/24)*RadSpec!V2))*1,".")</f>
        <v>1141.9130743794221</v>
      </c>
      <c r="R2" s="22">
        <f t="shared" ref="R2" si="3">(IF(AND(ISNUMBER(O2),ISNUMBER(P2),ISNUMBER(Q2)),1/((1/O2)+(1/P2)+(1/Q2)),IF(AND(ISNUMBER(O2),ISNUMBER(P2),NOT(ISNUMBER(Q2))), 1/((1/O2)+(1/P2)),IF(AND(ISNUMBER(O2),NOT(ISNUMBER(P2)),ISNUMBER(Q2)),1/((1/O2)+(1/Q2)),IF(AND(NOT(ISNUMBER(O2)),ISNUMBER(P2),ISNUMBER(Q2)),1/((1/P2)+(1/Q2)),IF(AND(ISNUMBER(O2),NOT(ISNUMBER(P2)),NOT(ISNUMBER(Q2))),1/((1/O2)),IF(AND(NOT(ISNUMBER(O2)),NOT(ISNUMBER(P2)),ISNUMBER(Q2)),1/((1/Q2)),IF(AND(NOT(ISNUMBER(O2)),ISNUMBER(P2),NOT(ISNUMBER(Q2))),1/((1/P2)),IF(AND(NOT(ISNUMBER(O2)),NOT(ISNUMBER(P2)),NOT(ISNUMBER(Q2))),".")))))))))</f>
        <v>104.96300856416509</v>
      </c>
      <c r="S2" s="43">
        <f t="shared" ref="S2:S30" si="4">C_*EF_cw*ED_con*IRS_cw*(1/1000)*1</f>
        <v>82.5</v>
      </c>
      <c r="T2" s="43">
        <f t="shared" ref="T2:T30" si="5">C_*EF_cw*ED_con*(ET_cw_i+ET_cw_o)*(1/24)*IRA_cw*(1/PEF__sc)*1000*1</f>
        <v>4.2127942114117772E-2</v>
      </c>
      <c r="U2" s="43">
        <f>C_*EF_cw*(1/365)*ED_con*(ET_cw_i+ET_cw_o)*(1/24)*RadSpec!U2*def_acf!D2*1</f>
        <v>2.1246458923512741E-2</v>
      </c>
      <c r="V2" s="11"/>
      <c r="W2" s="11"/>
      <c r="X2" s="11"/>
      <c r="Y2" s="11"/>
      <c r="Z2" s="22">
        <f>IFERROR((TR/(RadSpec!F2*EF_cw*(1/365)*ED_con*def_acf!D2*ET_cw_o*(1/24)*RadSpec!V2))*1,".")</f>
        <v>1141.9130743794221</v>
      </c>
      <c r="AA2" s="22">
        <f>IFERROR((TR/(RadSpec!M2*EF_cw*(1/365)*ED_con*def_acf!E2*ET_cw_o*(1/24)*RadSpec!R2))*1,".")</f>
        <v>3927.7933670951093</v>
      </c>
      <c r="AB2" s="22">
        <f>IFERROR((TR/(RadSpec!N2*EF_cw*(1/365)*ED_con*def_acf!F2*ET_cw_o*(1/24)*RadSpec!X2))*1,".")</f>
        <v>1615.4615009288823</v>
      </c>
      <c r="AC2" s="22">
        <f>IFERROR((TR/(RadSpec!O2*EF_cw*(1/365)*ED_con*def_acf!G2*ET_cw_o*(1/24)*RadSpec!Y2))*1,".")</f>
        <v>1131.1304547858037</v>
      </c>
      <c r="AD2" s="22">
        <f>IFERROR((TR/(RadSpec!K2*EF_cw*(1/365)*ED_con*def_acf!C2*ET_cw_o*(1/24)*RadSpec!U2))*1,".")</f>
        <v>3801.7086057343463</v>
      </c>
      <c r="AE2" s="43">
        <f>C_*EF_cw*(1/365)*ED_con*(ET_cw_i+ET_cw_o)*(1/24)*RadSpec!U2*def_acf!D2*1</f>
        <v>2.1246458923512741E-2</v>
      </c>
      <c r="AF2" s="43">
        <f>C_*EF_cw*(1/365)*ED_con*(ET_cw_i+ET_cw_o)*(1/24)*RadSpec!V2*def_acf!E2*1</f>
        <v>2.2051453391246253E-2</v>
      </c>
      <c r="AG2" s="43">
        <f>C_*EF_cw*(1/365)*ED_con*(ET_cw_i+ET_cw_o)*(1/24)*RadSpec!W2*def_acf!F2*1</f>
        <v>2.0708933380166255E-2</v>
      </c>
      <c r="AH2" s="43">
        <f>C_*EF_cw*(1/365)*ED_con*(ET_cw_i+ET_cw_o)*(1/24)*RadSpec!X2*def_acf!G2*1</f>
        <v>2.2010158534708332E-2</v>
      </c>
      <c r="AI2" s="43">
        <f>C_*EF_cw*(1/365)*ED_con*(ET_cw_i+ET_cw_o)*(1/24)*RadSpec!T2*def_acf!C2*1</f>
        <v>2.1871484349149633E-2</v>
      </c>
      <c r="AJ2" s="11"/>
      <c r="AK2" s="11"/>
      <c r="AL2" s="11"/>
      <c r="AM2" s="11"/>
      <c r="AN2" s="11"/>
      <c r="AO2" s="22">
        <f>IFERROR(TR/(RadSpec!G2*EF_cw*ED_con*ET_cw_o*(1/24)*IRA_cw),".")</f>
        <v>7.0018204733230645E-3</v>
      </c>
      <c r="AP2" s="22">
        <f>IFERROR(TR/(RadSpec!J2*EF_cw*(1/365)*ED_con*ET_cw_o*(1/24)*GSF_a),".")</f>
        <v>85060.871867038542</v>
      </c>
      <c r="AQ2" s="22">
        <f t="shared" ref="AQ2" si="6">IFERROR(IF(AND(ISNUMBER(AO2),ISNUMBER(AP2)),1/((1/AO2)+(1/AP2)),IF(AND(ISNUMBER(AO2),NOT(ISNUMBER(AP2))),1/((1/AO2)),IF(AND(NOT(ISNUMBER(AO2)),ISNUMBER(AP2)),1/((1/AP2)),IF(AND(NOT(ISNUMBER(AO2)),NOT(ISNUMBER(AP2))),".")))),".")</f>
        <v>7.0018198969653946E-3</v>
      </c>
      <c r="AR2" s="43">
        <f t="shared" ref="AR2:AR30" si="7">C_*EF_cw*ED_con*(ET_cw_i+ET_cw_o)*(1/24)*IRA_cw*1</f>
        <v>5000</v>
      </c>
      <c r="AS2" s="43">
        <f t="shared" ref="AS2:AS30" si="8">C_*EF_cw*(1/365)*ED_con*(ET_cw_i+ET_cw_o)*(1/24)*GSF_a*1</f>
        <v>0.22831050228310501</v>
      </c>
      <c r="AT2" s="11"/>
      <c r="AU2" s="11"/>
      <c r="AV2" s="11"/>
    </row>
    <row r="3" spans="1:48" x14ac:dyDescent="0.25">
      <c r="A3" s="25" t="s">
        <v>13</v>
      </c>
      <c r="B3" s="24" t="s">
        <v>275</v>
      </c>
      <c r="C3" s="2"/>
      <c r="D3" s="22">
        <f>IFERROR((TR/(RadSpec!I3*EF_cw*ED_con*IRS_cw*(1/1000)))*1,".")</f>
        <v>133.17086487818196</v>
      </c>
      <c r="E3" s="22">
        <f>IFERROR(IF(A3="H-3",(TR/(RadSpec!G3*EF_cw*ED_con*ET_cw_o*(1/24)*IRA_cw*(1/17)*1000))*1,(TR/(RadSpec!G3*EF_cw*ED_con*ET_cw_o*(1/24)*IRA_cw*(1/PEFsc)*1000))*1),".")</f>
        <v>4.1130334276817209</v>
      </c>
      <c r="F3" s="22">
        <f>IFERROR((TR/(RadSpec!F3*EF_cw*(1/365)*ED_con*def_acf!D3*ET_cw_o*(1/24)*RadSpec!V3))*1,".")</f>
        <v>1469.7226594747758</v>
      </c>
      <c r="G3" s="22">
        <f>(IF(AND(ISNUMBER(D3),ISNUMBER(E3),ISNUMBER(F3)),1/((1/D3)+(1/E3)+(1/F3)),IF(AND(ISNUMBER(D3),ISNUMBER(E3),NOT(ISNUMBER(F3))), 1/((1/D3)+(1/E3)),IF(AND(ISNUMBER(D3),NOT(ISNUMBER(E3)),ISNUMBER(F3)),1/((1/D3)+(1/F3)),IF(AND(NOT(ISNUMBER(D3)),ISNUMBER(E3),ISNUMBER(F3)),1/((1/E3)+(1/F3)),IF(AND(ISNUMBER(D3),NOT(ISNUMBER(E3)),NOT(ISNUMBER(F3))),1/((1/D3)),IF(AND(NOT(ISNUMBER(D3)),NOT(ISNUMBER(E3)),ISNUMBER(F3)),1/((1/F3)),IF(AND(NOT(ISNUMBER(D3)),ISNUMBER(E3),NOT(ISNUMBER(F3))),1/((1/E3)),IF(AND(NOT(ISNUMBER(D3)),NOT(ISNUMBER(E3)),NOT(ISNUMBER(F3))),".")))))))))</f>
        <v>3.9790050402058799</v>
      </c>
      <c r="H3" s="43">
        <f t="shared" si="1"/>
        <v>82.5</v>
      </c>
      <c r="I3" s="43">
        <f t="shared" si="2"/>
        <v>6.4422246467249371</v>
      </c>
      <c r="J3" s="43">
        <f>C_*EF_cw*(1/365)*ED_con*(ET_cw_i+ET_cw_o)*(1/24)*RadSpec!U3*def_acf!D3*1</f>
        <v>2.4587284861257535E-2</v>
      </c>
      <c r="K3" s="4"/>
      <c r="L3" s="4"/>
      <c r="M3" s="4"/>
      <c r="N3" s="4"/>
      <c r="O3" s="22">
        <f>IFERROR((TR/(RadSpec!I3*EF_cw*ED_con*IRS_cw*(1/1000)))*1,".")</f>
        <v>133.17086487818196</v>
      </c>
      <c r="P3" s="22">
        <f>IFERROR(IF(A3="H-3",(TR/(RadSpec!G3*EF_cw*ED_con*ET_cw_o*(1/24)*IRA_cw*(1/17)*1000))*1,(TR/(RadSpec!G3*EF_cw*ED_con*ET_cw_o*(1/24)*IRA_cw*(1/PEF__sc)*1000))*1),".")</f>
        <v>628.96699888255682</v>
      </c>
      <c r="Q3" s="22">
        <f>IFERROR((TR/(RadSpec!F3*EF_cw*(1/365)*ED_con*def_acf!D3*ET_cw_o*(1/24)*RadSpec!V3))*1,".")</f>
        <v>1469.7226594747758</v>
      </c>
      <c r="R3" s="22">
        <f>(IF(AND(ISNUMBER(O3),ISNUMBER(P3),ISNUMBER(Q3)),1/((1/O3)+(1/P3)+(1/Q3)),IF(AND(ISNUMBER(O3),ISNUMBER(P3),NOT(ISNUMBER(Q3))), 1/((1/O3)+(1/P3)),IF(AND(ISNUMBER(O3),NOT(ISNUMBER(P3)),ISNUMBER(Q3)),1/((1/O3)+(1/Q3)),IF(AND(NOT(ISNUMBER(O3)),ISNUMBER(P3),ISNUMBER(Q3)),1/((1/P3)+(1/Q3)),IF(AND(ISNUMBER(O3),NOT(ISNUMBER(P3)),NOT(ISNUMBER(Q3))),1/((1/O3)),IF(AND(NOT(ISNUMBER(O3)),NOT(ISNUMBER(P3)),ISNUMBER(Q3)),1/((1/Q3)),IF(AND(NOT(ISNUMBER(O3)),ISNUMBER(P3),NOT(ISNUMBER(Q3))),1/((1/P3)),IF(AND(NOT(ISNUMBER(O3)),NOT(ISNUMBER(P3)),NOT(ISNUMBER(Q3))),".")))))))))</f>
        <v>102.25514505797312</v>
      </c>
      <c r="S3" s="43">
        <f t="shared" si="4"/>
        <v>82.5</v>
      </c>
      <c r="T3" s="43">
        <f t="shared" si="5"/>
        <v>4.2127942114117772E-2</v>
      </c>
      <c r="U3" s="43">
        <f>C_*EF_cw*(1/365)*ED_con*(ET_cw_i+ET_cw_o)*(1/24)*RadSpec!U3*def_acf!D3*1</f>
        <v>2.4587284861257535E-2</v>
      </c>
      <c r="V3" s="11"/>
      <c r="W3" s="11"/>
      <c r="X3" s="11"/>
      <c r="Y3" s="11"/>
      <c r="Z3" s="22">
        <f>IFERROR((TR/(RadSpec!F3*EF_cw*(1/365)*ED_con*def_acf!D3*ET_cw_o*(1/24)*RadSpec!V3))*1,".")</f>
        <v>1469.7226594747758</v>
      </c>
      <c r="AA3" s="22">
        <f>IFERROR((TR/(RadSpec!M3*EF_cw*(1/365)*ED_con*def_acf!E3*ET_cw_o*(1/24)*RadSpec!R3))*1,".")</f>
        <v>3367.5386638197328</v>
      </c>
      <c r="AB3" s="22">
        <f>IFERROR((TR/(RadSpec!N3*EF_cw*(1/365)*ED_con*def_acf!F3*ET_cw_o*(1/24)*RadSpec!X3))*1,".")</f>
        <v>1787.8539587521261</v>
      </c>
      <c r="AC3" s="22">
        <f>IFERROR((TR/(RadSpec!O3*EF_cw*(1/365)*ED_con*def_acf!G3*ET_cw_o*(1/24)*RadSpec!Y3))*1,".")</f>
        <v>1632.9956549095177</v>
      </c>
      <c r="AD3" s="22">
        <f>IFERROR((TR/(RadSpec!K3*EF_cw*(1/365)*ED_con*def_acf!C3*ET_cw_o*(1/24)*RadSpec!U3))*1,".")</f>
        <v>2777.9254588047911</v>
      </c>
      <c r="AE3" s="43">
        <f>C_*EF_cw*(1/365)*ED_con*(ET_cw_i+ET_cw_o)*(1/24)*RadSpec!U3*def_acf!D3*1</f>
        <v>2.4587284861257535E-2</v>
      </c>
      <c r="AF3" s="43">
        <f>C_*EF_cw*(1/365)*ED_con*(ET_cw_i+ET_cw_o)*(1/24)*RadSpec!V3*def_acf!E3*1</f>
        <v>2.1589193939741302E-2</v>
      </c>
      <c r="AG3" s="43">
        <f>C_*EF_cw*(1/365)*ED_con*(ET_cw_i+ET_cw_o)*(1/24)*RadSpec!W3*def_acf!F3*1</f>
        <v>2.1695177082623401E-2</v>
      </c>
      <c r="AH3" s="43">
        <f>C_*EF_cw*(1/365)*ED_con*(ET_cw_i+ET_cw_o)*(1/24)*RadSpec!X3*def_acf!G3*1</f>
        <v>2.2128956428578858E-2</v>
      </c>
      <c r="AI3" s="43">
        <f>C_*EF_cw*(1/365)*ED_con*(ET_cw_i+ET_cw_o)*(1/24)*RadSpec!T3*def_acf!C3*1</f>
        <v>1.9268758703325891E-2</v>
      </c>
      <c r="AJ3" s="11"/>
      <c r="AK3" s="11"/>
      <c r="AL3" s="11"/>
      <c r="AM3" s="11"/>
      <c r="AN3" s="11"/>
      <c r="AO3" s="22">
        <f>IFERROR(TR/(RadSpec!G3*EF_cw*ED_con*ET_cw_o*(1/24)*IRA_cw),".")</f>
        <v>5.2994170641229464E-3</v>
      </c>
      <c r="AP3" s="22">
        <f>IFERROR(TR/(RadSpec!J3*EF_cw*(1/365)*ED_con*ET_cw_o*(1/24)*GSF_a),".")</f>
        <v>75476.548276386311</v>
      </c>
      <c r="AQ3" s="22">
        <f>IFERROR(IF(AND(ISNUMBER(AO3),ISNUMBER(AP3)),1/((1/AO3)+(1/AP3)),IF(AND(ISNUMBER(AO3),NOT(ISNUMBER(AP3))),1/((1/AO3)),IF(AND(NOT(ISNUMBER(AO3)),ISNUMBER(AP3)),1/((1/AP3)),IF(AND(NOT(ISNUMBER(AO3)),NOT(ISNUMBER(AP3))),".")))),".")</f>
        <v>5.2994166920362533E-3</v>
      </c>
      <c r="AR3" s="43">
        <f t="shared" si="7"/>
        <v>5000</v>
      </c>
      <c r="AS3" s="43">
        <f t="shared" si="8"/>
        <v>0.22831050228310501</v>
      </c>
      <c r="AT3" s="10"/>
      <c r="AU3" s="10"/>
      <c r="AV3" s="10"/>
    </row>
    <row r="4" spans="1:48" x14ac:dyDescent="0.25">
      <c r="A4" s="23" t="s">
        <v>14</v>
      </c>
      <c r="B4" s="24" t="s">
        <v>289</v>
      </c>
      <c r="C4" s="2"/>
      <c r="D4" s="22" t="str">
        <f>IFERROR((TR/(RadSpec!I4*EF_cw*ED_con*IRS_cw*(1/1000)))*1,".")</f>
        <v>.</v>
      </c>
      <c r="E4" s="22" t="str">
        <f>IFERROR(IF(A4="H-3",(TR/(RadSpec!G4*EF_cw*ED_con*ET_cw_o*(1/24)*IRA_cw*(1/17)*1000))*1,(TR/(RadSpec!G4*EF_cw*ED_con*ET_cw_o*(1/24)*IRA_cw*(1/PEFsc)*1000))*1),".")</f>
        <v>.</v>
      </c>
      <c r="F4" s="22">
        <f>IFERROR((TR/(RadSpec!F4*EF_cw*(1/365)*ED_con*def_acf!D4*ET_cw_o*(1/24)*RadSpec!V4))*1,".")</f>
        <v>61646.255780056425</v>
      </c>
      <c r="G4" s="22">
        <f t="shared" ref="G4:G5" si="9">(IF(AND(ISNUMBER(D4),ISNUMBER(E4),ISNUMBER(F4)),1/((1/D4)+(1/E4)+(1/F4)),IF(AND(ISNUMBER(D4),ISNUMBER(E4),NOT(ISNUMBER(F4))), 1/((1/D4)+(1/E4)),IF(AND(ISNUMBER(D4),NOT(ISNUMBER(E4)),ISNUMBER(F4)),1/((1/D4)+(1/F4)),IF(AND(NOT(ISNUMBER(D4)),ISNUMBER(E4),ISNUMBER(F4)),1/((1/E4)+(1/F4)),IF(AND(ISNUMBER(D4),NOT(ISNUMBER(E4)),NOT(ISNUMBER(F4))),1/((1/D4)),IF(AND(NOT(ISNUMBER(D4)),NOT(ISNUMBER(E4)),ISNUMBER(F4)),1/((1/F4)),IF(AND(NOT(ISNUMBER(D4)),ISNUMBER(E4),NOT(ISNUMBER(F4))),1/((1/E4)),IF(AND(NOT(ISNUMBER(D4)),NOT(ISNUMBER(E4)),NOT(ISNUMBER(F4))),".")))))))))</f>
        <v>61646.255780056425</v>
      </c>
      <c r="H4" s="43">
        <f t="shared" si="1"/>
        <v>82.5</v>
      </c>
      <c r="I4" s="43">
        <f t="shared" si="2"/>
        <v>6.4422246467249371</v>
      </c>
      <c r="J4" s="43">
        <f>C_*EF_cw*(1/365)*ED_con*(ET_cw_i+ET_cw_o)*(1/24)*RadSpec!U4*def_acf!D4*1</f>
        <v>1.732260636370226E-2</v>
      </c>
      <c r="K4" s="4"/>
      <c r="L4" s="4"/>
      <c r="M4" s="4"/>
      <c r="N4" s="4"/>
      <c r="O4" s="22" t="str">
        <f>IFERROR((TR/(RadSpec!I4*EF_cw*ED_con*IRS_cw*(1/1000)))*1,".")</f>
        <v>.</v>
      </c>
      <c r="P4" s="22" t="str">
        <f>IFERROR(IF(A4="H-3",(TR/(RadSpec!G4*EF_cw*ED_con*ET_cw_o*(1/24)*IRA_cw*(1/17)*1000))*1,(TR/(RadSpec!G4*EF_cw*ED_con*ET_cw_o*(1/24)*IRA_cw*(1/PEF__sc)*1000))*1),".")</f>
        <v>.</v>
      </c>
      <c r="Q4" s="22">
        <f>IFERROR((TR/(RadSpec!F4*EF_cw*(1/365)*ED_con*def_acf!D4*ET_cw_o*(1/24)*RadSpec!V4))*1,".")</f>
        <v>61646.255780056425</v>
      </c>
      <c r="R4" s="22">
        <f t="shared" ref="R4:R5" si="10">(IF(AND(ISNUMBER(O4),ISNUMBER(P4),ISNUMBER(Q4)),1/((1/O4)+(1/P4)+(1/Q4)),IF(AND(ISNUMBER(O4),ISNUMBER(P4),NOT(ISNUMBER(Q4))), 1/((1/O4)+(1/P4)),IF(AND(ISNUMBER(O4),NOT(ISNUMBER(P4)),ISNUMBER(Q4)),1/((1/O4)+(1/Q4)),IF(AND(NOT(ISNUMBER(O4)),ISNUMBER(P4),ISNUMBER(Q4)),1/((1/P4)+(1/Q4)),IF(AND(ISNUMBER(O4),NOT(ISNUMBER(P4)),NOT(ISNUMBER(Q4))),1/((1/O4)),IF(AND(NOT(ISNUMBER(O4)),NOT(ISNUMBER(P4)),ISNUMBER(Q4)),1/((1/Q4)),IF(AND(NOT(ISNUMBER(O4)),ISNUMBER(P4),NOT(ISNUMBER(Q4))),1/((1/P4)),IF(AND(NOT(ISNUMBER(O4)),NOT(ISNUMBER(P4)),NOT(ISNUMBER(Q4))),".")))))))))</f>
        <v>61646.255780056425</v>
      </c>
      <c r="S4" s="43">
        <f t="shared" si="4"/>
        <v>82.5</v>
      </c>
      <c r="T4" s="43">
        <f t="shared" si="5"/>
        <v>4.2127942114117772E-2</v>
      </c>
      <c r="U4" s="43">
        <f>C_*EF_cw*(1/365)*ED_con*(ET_cw_i+ET_cw_o)*(1/24)*RadSpec!U4*def_acf!D4*1</f>
        <v>1.732260636370226E-2</v>
      </c>
      <c r="V4" s="11"/>
      <c r="W4" s="11"/>
      <c r="X4" s="11"/>
      <c r="Y4" s="11"/>
      <c r="Z4" s="22">
        <f>IFERROR((TR/(RadSpec!F4*EF_cw*(1/365)*ED_con*def_acf!D4*ET_cw_o*(1/24)*RadSpec!V4))*1,".")</f>
        <v>61646.255780056425</v>
      </c>
      <c r="AA4" s="22">
        <f>IFERROR((TR/(RadSpec!M4*EF_cw*(1/365)*ED_con*def_acf!E4*ET_cw_o*(1/24)*RadSpec!R4))*1,".")</f>
        <v>398502.33303071506</v>
      </c>
      <c r="AB4" s="22">
        <f>IFERROR((TR/(RadSpec!N4*EF_cw*(1/365)*ED_con*def_acf!F4*ET_cw_o*(1/24)*RadSpec!X4))*1,".")</f>
        <v>103029.35804451784</v>
      </c>
      <c r="AC4" s="22">
        <f>IFERROR((TR/(RadSpec!O4*EF_cw*(1/365)*ED_con*def_acf!G4*ET_cw_o*(1/24)*RadSpec!Y4))*1,".")</f>
        <v>59531.943705477453</v>
      </c>
      <c r="AD4" s="22">
        <f>IFERROR((TR/(RadSpec!K4*EF_cw*(1/365)*ED_con*def_acf!C4*ET_cw_o*(1/24)*RadSpec!U4))*1,".")</f>
        <v>490597.56379651144</v>
      </c>
      <c r="AE4" s="43">
        <f>C_*EF_cw*(1/365)*ED_con*(ET_cw_i+ET_cw_o)*(1/24)*RadSpec!U4*def_acf!D4*1</f>
        <v>1.732260636370226E-2</v>
      </c>
      <c r="AF4" s="43">
        <f>C_*EF_cw*(1/365)*ED_con*(ET_cw_i+ET_cw_o)*(1/24)*RadSpec!V4*def_acf!E4*1</f>
        <v>1.157938432632016E-2</v>
      </c>
      <c r="AG4" s="43">
        <f>C_*EF_cw*(1/365)*ED_con*(ET_cw_i+ET_cw_o)*(1/24)*RadSpec!W4*def_acf!F4*1</f>
        <v>1.6235413495687464E-2</v>
      </c>
      <c r="AH4" s="43">
        <f>C_*EF_cw*(1/365)*ED_con*(ET_cw_i+ET_cw_o)*(1/24)*RadSpec!X4*def_acf!G4*1</f>
        <v>1.9130503736891142E-2</v>
      </c>
      <c r="AI4" s="43">
        <f>C_*EF_cw*(1/365)*ED_con*(ET_cw_i+ET_cw_o)*(1/24)*RadSpec!T4*def_acf!C4*1</f>
        <v>9.5917429953257059E-3</v>
      </c>
      <c r="AJ4" s="11"/>
      <c r="AK4" s="11"/>
      <c r="AL4" s="11"/>
      <c r="AM4" s="11"/>
      <c r="AN4" s="11"/>
      <c r="AO4" s="22" t="str">
        <f>IFERROR(TR/(RadSpec!G4*EF_cw*ED_con*ET_cw_o*(1/24)*IRA_cw),".")</f>
        <v>.</v>
      </c>
      <c r="AP4" s="22">
        <f>IFERROR(TR/(RadSpec!J4*EF_cw*(1/365)*ED_con*ET_cw_o*(1/24)*GSF_a),".")</f>
        <v>4487062.7384406701</v>
      </c>
      <c r="AQ4" s="22">
        <f t="shared" ref="AQ4:AQ5" si="11">IFERROR(IF(AND(ISNUMBER(AO4),ISNUMBER(AP4)),1/((1/AO4)+(1/AP4)),IF(AND(ISNUMBER(AO4),NOT(ISNUMBER(AP4))),1/((1/AO4)),IF(AND(NOT(ISNUMBER(AO4)),ISNUMBER(AP4)),1/((1/AP4)),IF(AND(NOT(ISNUMBER(AO4)),NOT(ISNUMBER(AP4))),".")))),".")</f>
        <v>4487062.7384406701</v>
      </c>
      <c r="AR4" s="43">
        <f t="shared" si="7"/>
        <v>5000</v>
      </c>
      <c r="AS4" s="43">
        <f t="shared" si="8"/>
        <v>0.22831050228310501</v>
      </c>
      <c r="AT4" s="10"/>
      <c r="AU4" s="10"/>
      <c r="AV4" s="10"/>
    </row>
    <row r="5" spans="1:48" x14ac:dyDescent="0.25">
      <c r="A5" s="23" t="s">
        <v>15</v>
      </c>
      <c r="B5" s="24" t="s">
        <v>289</v>
      </c>
      <c r="C5" s="109"/>
      <c r="D5" s="22" t="str">
        <f>IFERROR((TR/(RadSpec!I5*EF_cw*ED_con*IRS_cw*(1/1000)))*1,".")</f>
        <v>.</v>
      </c>
      <c r="E5" s="22" t="str">
        <f>IFERROR(IF(A5="H-3",(TR/(RadSpec!G5*EF_cw*ED_con*ET_cw_o*(1/24)*IRA_cw*(1/17)*1000))*1,(TR/(RadSpec!G5*EF_cw*ED_con*ET_cw_o*(1/24)*IRA_cw*(1/PEFsc)*1000))*1),".")</f>
        <v>.</v>
      </c>
      <c r="F5" s="22">
        <f>IFERROR((TR/(RadSpec!F5*EF_cw*(1/365)*ED_con*def_acf!D5*ET_cw_o*(1/24)*RadSpec!V5))*1,".")</f>
        <v>177360.96687169737</v>
      </c>
      <c r="G5" s="22">
        <f t="shared" si="9"/>
        <v>177360.96687169737</v>
      </c>
      <c r="H5" s="43">
        <f t="shared" si="1"/>
        <v>82.5</v>
      </c>
      <c r="I5" s="43">
        <f t="shared" si="2"/>
        <v>6.4422246467249371</v>
      </c>
      <c r="J5" s="43">
        <f>C_*EF_cw*(1/365)*ED_con*(ET_cw_i+ET_cw_o)*(1/24)*RadSpec!U5*def_acf!D5*1</f>
        <v>0.20547945205479451</v>
      </c>
      <c r="K5" s="4"/>
      <c r="L5" s="4"/>
      <c r="M5" s="4"/>
      <c r="N5" s="4"/>
      <c r="O5" s="22" t="str">
        <f>IFERROR((TR/(RadSpec!I5*EF_cw*ED_con*IRS_cw*(1/1000)))*1,".")</f>
        <v>.</v>
      </c>
      <c r="P5" s="22" t="str">
        <f>IFERROR(IF(A5="H-3",(TR/(RadSpec!G5*EF_cw*ED_con*ET_cw_o*(1/24)*IRA_cw*(1/17)*1000))*1,(TR/(RadSpec!G5*EF_cw*ED_con*ET_cw_o*(1/24)*IRA_cw*(1/PEF__sc)*1000))*1),".")</f>
        <v>.</v>
      </c>
      <c r="Q5" s="22">
        <f>IFERROR((TR/(RadSpec!F5*EF_cw*(1/365)*ED_con*def_acf!D5*ET_cw_o*(1/24)*RadSpec!V5))*1,".")</f>
        <v>177360.96687169737</v>
      </c>
      <c r="R5" s="22">
        <f t="shared" si="10"/>
        <v>177360.96687169737</v>
      </c>
      <c r="S5" s="43">
        <f t="shared" si="4"/>
        <v>82.5</v>
      </c>
      <c r="T5" s="43">
        <f t="shared" si="5"/>
        <v>4.2127942114117772E-2</v>
      </c>
      <c r="U5" s="43">
        <f>C_*EF_cw*(1/365)*ED_con*(ET_cw_i+ET_cw_o)*(1/24)*RadSpec!U5*def_acf!D5*1</f>
        <v>0.20547945205479451</v>
      </c>
      <c r="V5" s="11"/>
      <c r="W5" s="11"/>
      <c r="X5" s="11"/>
      <c r="Y5" s="11"/>
      <c r="Z5" s="22">
        <f>IFERROR((TR/(RadSpec!F5*EF_cw*(1/365)*ED_con*def_acf!D5*ET_cw_o*(1/24)*RadSpec!V5))*1,".")</f>
        <v>177360.96687169737</v>
      </c>
      <c r="AA5" s="22">
        <f>IFERROR((TR/(RadSpec!M5*EF_cw*(1/365)*ED_con*def_acf!E5*ET_cw_o*(1/24)*RadSpec!R5))*1,".")</f>
        <v>644639.74286762078</v>
      </c>
      <c r="AB5" s="22">
        <f>IFERROR((TR/(RadSpec!N5*EF_cw*(1/365)*ED_con*def_acf!F5*ET_cw_o*(1/24)*RadSpec!X5))*1,".")</f>
        <v>263963.44024603476</v>
      </c>
      <c r="AC5" s="22">
        <f>IFERROR((TR/(RadSpec!O5*EF_cw*(1/365)*ED_con*def_acf!G5*ET_cw_o*(1/24)*RadSpec!Y5))*1,".")</f>
        <v>190318.84572990355</v>
      </c>
      <c r="AD5" s="22">
        <f>IFERROR((TR/(RadSpec!K5*EF_cw*(1/365)*ED_con*def_acf!C5*ET_cw_o*(1/24)*RadSpec!U5))*1,".")</f>
        <v>243741.67961899936</v>
      </c>
      <c r="AE5" s="43">
        <f>C_*EF_cw*(1/365)*ED_con*(ET_cw_i+ET_cw_o)*(1/24)*RadSpec!U5*def_acf!D5*1</f>
        <v>0.20547945205479451</v>
      </c>
      <c r="AF5" s="43">
        <f>C_*EF_cw*(1/365)*ED_con*(ET_cw_i+ET_cw_o)*(1/24)*RadSpec!V5*def_acf!E5*1</f>
        <v>0.20547945205479451</v>
      </c>
      <c r="AG5" s="43">
        <f>C_*EF_cw*(1/365)*ED_con*(ET_cw_i+ET_cw_o)*(1/24)*RadSpec!W5*def_acf!F5*1</f>
        <v>0.20547945205479451</v>
      </c>
      <c r="AH5" s="43">
        <f>C_*EF_cw*(1/365)*ED_con*(ET_cw_i+ET_cw_o)*(1/24)*RadSpec!X5*def_acf!G5*1</f>
        <v>0.20547945205479451</v>
      </c>
      <c r="AI5" s="43">
        <f>C_*EF_cw*(1/365)*ED_con*(ET_cw_i+ET_cw_o)*(1/24)*RadSpec!T5*def_acf!C5*1</f>
        <v>0.18493150684931506</v>
      </c>
      <c r="AJ5" s="11"/>
      <c r="AK5" s="11"/>
      <c r="AL5" s="11"/>
      <c r="AM5" s="11"/>
      <c r="AN5" s="11"/>
      <c r="AO5" s="22" t="str">
        <f>IFERROR(TR/(RadSpec!G5*EF_cw*ED_con*ET_cw_o*(1/24)*IRA_cw),".")</f>
        <v>.</v>
      </c>
      <c r="AP5" s="22">
        <f>IFERROR(TR/(RadSpec!J5*EF_cw*(1/365)*ED_con*ET_cw_o*(1/24)*GSF_a),".")</f>
        <v>142090320.05062121</v>
      </c>
      <c r="AQ5" s="22">
        <f t="shared" si="11"/>
        <v>142090320.05062121</v>
      </c>
      <c r="AR5" s="43">
        <f t="shared" si="7"/>
        <v>5000</v>
      </c>
      <c r="AS5" s="43">
        <f t="shared" si="8"/>
        <v>0.22831050228310501</v>
      </c>
      <c r="AT5" s="10"/>
      <c r="AU5" s="10"/>
      <c r="AV5" s="10"/>
    </row>
    <row r="6" spans="1:48" x14ac:dyDescent="0.25">
      <c r="A6" s="23" t="s">
        <v>16</v>
      </c>
      <c r="B6" s="24" t="s">
        <v>289</v>
      </c>
      <c r="C6" s="2"/>
      <c r="D6" s="22" t="str">
        <f>IFERROR((TR/(RadSpec!I6*EF_cw*ED_con*IRS_cw*(1/1000)))*1,".")</f>
        <v>.</v>
      </c>
      <c r="E6" s="22" t="str">
        <f>IFERROR(IF(A6="H-3",(TR/(RadSpec!G6*EF_cw*ED_con*ET_cw_o*(1/24)*IRA_cw*(1/17)*1000))*1,(TR/(RadSpec!G6*EF_cw*ED_con*ET_cw_o*(1/24)*IRA_cw*(1/PEFsc)*1000))*1),".")</f>
        <v>.</v>
      </c>
      <c r="F6" s="22">
        <f>IFERROR((TR/(RadSpec!F6*EF_cw*(1/365)*ED_con*def_acf!D6*ET_cw_o*(1/24)*RadSpec!V6))*1,".")</f>
        <v>18.611241219533674</v>
      </c>
      <c r="G6" s="22">
        <f t="shared" ref="G6:G9" si="12">(IF(AND(ISNUMBER(D6),ISNUMBER(E6),ISNUMBER(F6)),1/((1/D6)+(1/E6)+(1/F6)),IF(AND(ISNUMBER(D6),ISNUMBER(E6),NOT(ISNUMBER(F6))), 1/((1/D6)+(1/E6)),IF(AND(ISNUMBER(D6),NOT(ISNUMBER(E6)),ISNUMBER(F6)),1/((1/D6)+(1/F6)),IF(AND(NOT(ISNUMBER(D6)),ISNUMBER(E6),ISNUMBER(F6)),1/((1/E6)+(1/F6)),IF(AND(ISNUMBER(D6),NOT(ISNUMBER(E6)),NOT(ISNUMBER(F6))),1/((1/D6)),IF(AND(NOT(ISNUMBER(D6)),NOT(ISNUMBER(E6)),ISNUMBER(F6)),1/((1/F6)),IF(AND(NOT(ISNUMBER(D6)),ISNUMBER(E6),NOT(ISNUMBER(F6))),1/((1/E6)),IF(AND(NOT(ISNUMBER(D6)),NOT(ISNUMBER(E6)),NOT(ISNUMBER(F6))),".")))))))))</f>
        <v>18.611241219533674</v>
      </c>
      <c r="H6" s="43">
        <f t="shared" si="1"/>
        <v>82.5</v>
      </c>
      <c r="I6" s="43">
        <f t="shared" si="2"/>
        <v>6.4422246467249371</v>
      </c>
      <c r="J6" s="43">
        <f>C_*EF_cw*(1/365)*ED_con*(ET_cw_i+ET_cw_o)*(1/24)*RadSpec!U6*def_acf!D6*1</f>
        <v>2.0007422108201438E-2</v>
      </c>
      <c r="K6" s="4"/>
      <c r="L6" s="4"/>
      <c r="M6" s="4"/>
      <c r="N6" s="4"/>
      <c r="O6" s="22" t="str">
        <f>IFERROR((TR/(RadSpec!I6*EF_cw*ED_con*IRS_cw*(1/1000)))*1,".")</f>
        <v>.</v>
      </c>
      <c r="P6" s="22" t="str">
        <f>IFERROR(IF(A6="H-3",(TR/(RadSpec!G6*EF_cw*ED_con*ET_cw_o*(1/24)*IRA_cw*(1/17)*1000))*1,(TR/(RadSpec!G6*EF_cw*ED_con*ET_cw_o*(1/24)*IRA_cw*(1/PEF__sc)*1000))*1),".")</f>
        <v>.</v>
      </c>
      <c r="Q6" s="22">
        <f>IFERROR((TR/(RadSpec!F6*EF_cw*(1/365)*ED_con*def_acf!D6*ET_cw_o*(1/24)*RadSpec!V6))*1,".")</f>
        <v>18.611241219533674</v>
      </c>
      <c r="R6" s="22">
        <f t="shared" ref="R6:R9" si="13">(IF(AND(ISNUMBER(O6),ISNUMBER(P6),ISNUMBER(Q6)),1/((1/O6)+(1/P6)+(1/Q6)),IF(AND(ISNUMBER(O6),ISNUMBER(P6),NOT(ISNUMBER(Q6))), 1/((1/O6)+(1/P6)),IF(AND(ISNUMBER(O6),NOT(ISNUMBER(P6)),ISNUMBER(Q6)),1/((1/O6)+(1/Q6)),IF(AND(NOT(ISNUMBER(O6)),ISNUMBER(P6),ISNUMBER(Q6)),1/((1/P6)+(1/Q6)),IF(AND(ISNUMBER(O6),NOT(ISNUMBER(P6)),NOT(ISNUMBER(Q6))),1/((1/O6)),IF(AND(NOT(ISNUMBER(O6)),NOT(ISNUMBER(P6)),ISNUMBER(Q6)),1/((1/Q6)),IF(AND(NOT(ISNUMBER(O6)),ISNUMBER(P6),NOT(ISNUMBER(Q6))),1/((1/P6)),IF(AND(NOT(ISNUMBER(O6)),NOT(ISNUMBER(P6)),NOT(ISNUMBER(Q6))),".")))))))))</f>
        <v>18.611241219533674</v>
      </c>
      <c r="S6" s="43">
        <f t="shared" si="4"/>
        <v>82.5</v>
      </c>
      <c r="T6" s="43">
        <f t="shared" si="5"/>
        <v>4.2127942114117772E-2</v>
      </c>
      <c r="U6" s="43">
        <f>C_*EF_cw*(1/365)*ED_con*(ET_cw_i+ET_cw_o)*(1/24)*RadSpec!U6*def_acf!D6*1</f>
        <v>2.0007422108201438E-2</v>
      </c>
      <c r="V6" s="11"/>
      <c r="W6" s="11"/>
      <c r="X6" s="11"/>
      <c r="Y6" s="11"/>
      <c r="Z6" s="22">
        <f>IFERROR((TR/(RadSpec!F6*EF_cw*(1/365)*ED_con*def_acf!D6*ET_cw_o*(1/24)*RadSpec!V6))*1,".")</f>
        <v>18.611241219533674</v>
      </c>
      <c r="AA6" s="22">
        <f>IFERROR((TR/(RadSpec!M6*EF_cw*(1/365)*ED_con*def_acf!E6*ET_cw_o*(1/24)*RadSpec!R6))*1,".")</f>
        <v>171.56740978347298</v>
      </c>
      <c r="AB6" s="22">
        <f>IFERROR((TR/(RadSpec!N6*EF_cw*(1/365)*ED_con*def_acf!F6*ET_cw_o*(1/24)*RadSpec!X6))*1,".")</f>
        <v>41.914445685159876</v>
      </c>
      <c r="AC6" s="22">
        <f>IFERROR((TR/(RadSpec!O6*EF_cw*(1/365)*ED_con*def_acf!G6*ET_cw_o*(1/24)*RadSpec!Y6))*1,".")</f>
        <v>20.969768864013339</v>
      </c>
      <c r="AD6" s="22">
        <f>IFERROR((TR/(RadSpec!K6*EF_cw*(1/365)*ED_con*def_acf!C6*ET_cw_o*(1/24)*RadSpec!U6))*1,".")</f>
        <v>261.24108225831259</v>
      </c>
      <c r="AE6" s="43">
        <f>C_*EF_cw*(1/365)*ED_con*(ET_cw_i+ET_cw_o)*(1/24)*RadSpec!U6*def_acf!D6*1</f>
        <v>2.0007422108201438E-2</v>
      </c>
      <c r="AF6" s="43">
        <f>C_*EF_cw*(1/365)*ED_con*(ET_cw_i+ET_cw_o)*(1/24)*RadSpec!V6*def_acf!E6*1</f>
        <v>1.0648094854380114E-2</v>
      </c>
      <c r="AG6" s="43">
        <f>C_*EF_cw*(1/365)*ED_con*(ET_cw_i+ET_cw_o)*(1/24)*RadSpec!W6*def_acf!F6*1</f>
        <v>1.5456071804045249E-2</v>
      </c>
      <c r="AH6" s="43">
        <f>C_*EF_cw*(1/365)*ED_con*(ET_cw_i+ET_cw_o)*(1/24)*RadSpec!X6*def_acf!G6*1</f>
        <v>1.992263618648751E-2</v>
      </c>
      <c r="AI6" s="43">
        <f>C_*EF_cw*(1/365)*ED_con*(ET_cw_i+ET_cw_o)*(1/24)*RadSpec!T6*def_acf!C6*1</f>
        <v>7.1423338949527385E-3</v>
      </c>
      <c r="AJ6" s="11"/>
      <c r="AK6" s="11"/>
      <c r="AL6" s="11"/>
      <c r="AM6" s="11"/>
      <c r="AN6" s="11"/>
      <c r="AO6" s="22" t="str">
        <f>IFERROR(TR/(RadSpec!G6*EF_cw*ED_con*ET_cw_o*(1/24)*IRA_cw),".")</f>
        <v>.</v>
      </c>
      <c r="AP6" s="22">
        <f>IFERROR(TR/(RadSpec!J6*EF_cw*(1/365)*ED_con*ET_cw_o*(1/24)*GSF_a),".")</f>
        <v>1736.6594672853705</v>
      </c>
      <c r="AQ6" s="22">
        <f t="shared" ref="AQ6:AQ9" si="14">IFERROR(IF(AND(ISNUMBER(AO6),ISNUMBER(AP6)),1/((1/AO6)+(1/AP6)),IF(AND(ISNUMBER(AO6),NOT(ISNUMBER(AP6))),1/((1/AO6)),IF(AND(NOT(ISNUMBER(AO6)),ISNUMBER(AP6)),1/((1/AP6)),IF(AND(NOT(ISNUMBER(AO6)),NOT(ISNUMBER(AP6))),".")))),".")</f>
        <v>1736.6594672853705</v>
      </c>
      <c r="AR6" s="43">
        <f t="shared" si="7"/>
        <v>5000</v>
      </c>
      <c r="AS6" s="43">
        <f t="shared" si="8"/>
        <v>0.22831050228310501</v>
      </c>
      <c r="AT6" s="10"/>
      <c r="AU6" s="10"/>
      <c r="AV6" s="10"/>
    </row>
    <row r="7" spans="1:48" x14ac:dyDescent="0.25">
      <c r="A7" s="23" t="s">
        <v>17</v>
      </c>
      <c r="B7" s="24" t="s">
        <v>289</v>
      </c>
      <c r="C7" s="109"/>
      <c r="D7" s="22">
        <f>IFERROR((TR/(RadSpec!I7*EF_cw*ED_con*IRS_cw*(1/1000)))*1,".")</f>
        <v>3243.5676000032436</v>
      </c>
      <c r="E7" s="22">
        <f>IFERROR(IF(A7="H-3",(TR/(RadSpec!G7*EF_cw*ED_con*ET_cw_o*(1/24)*IRA_cw*(1/17)*1000))*1,(TR/(RadSpec!G7*EF_cw*ED_con*ET_cw_o*(1/24)*IRA_cw*(1/PEFsc)*1000))*1),".")</f>
        <v>341.08082083214276</v>
      </c>
      <c r="F7" s="22">
        <f>IFERROR((TR/(RadSpec!F7*EF_cw*(1/365)*ED_con*def_acf!D7*ET_cw_o*(1/24)*RadSpec!V7))*1,".")</f>
        <v>21193.132482126541</v>
      </c>
      <c r="G7" s="22">
        <f t="shared" si="12"/>
        <v>304.19694133378039</v>
      </c>
      <c r="H7" s="43">
        <f t="shared" si="1"/>
        <v>82.5</v>
      </c>
      <c r="I7" s="43">
        <f t="shared" si="2"/>
        <v>6.4422246467249371</v>
      </c>
      <c r="J7" s="43">
        <f>C_*EF_cw*(1/365)*ED_con*(ET_cw_i+ET_cw_o)*(1/24)*RadSpec!U7*def_acf!D7*1</f>
        <v>1.7051037512282534E-2</v>
      </c>
      <c r="K7" s="4"/>
      <c r="L7" s="4"/>
      <c r="M7" s="4"/>
      <c r="N7" s="4"/>
      <c r="O7" s="22">
        <f>IFERROR((TR/(RadSpec!I7*EF_cw*ED_con*IRS_cw*(1/1000)))*1,".")</f>
        <v>3243.5676000032436</v>
      </c>
      <c r="P7" s="22">
        <f>IFERROR(IF(A7="H-3",(TR/(RadSpec!G7*EF_cw*ED_con*ET_cw_o*(1/24)*IRA_cw*(1/17)*1000))*1,(TR/(RadSpec!G7*EF_cw*ED_con*ET_cw_o*(1/24)*IRA_cw*(1/PEF__sc)*1000))*1),".")</f>
        <v>52158.238931724234</v>
      </c>
      <c r="Q7" s="22">
        <f>IFERROR((TR/(RadSpec!F7*EF_cw*(1/365)*ED_con*def_acf!D7*ET_cw_o*(1/24)*RadSpec!V7))*1,".")</f>
        <v>21193.132482126541</v>
      </c>
      <c r="R7" s="22">
        <f t="shared" si="13"/>
        <v>2669.0864754514046</v>
      </c>
      <c r="S7" s="43">
        <f t="shared" si="4"/>
        <v>82.5</v>
      </c>
      <c r="T7" s="43">
        <f t="shared" si="5"/>
        <v>4.2127942114117772E-2</v>
      </c>
      <c r="U7" s="43">
        <f>C_*EF_cw*(1/365)*ED_con*(ET_cw_i+ET_cw_o)*(1/24)*RadSpec!U7*def_acf!D7*1</f>
        <v>1.7051037512282534E-2</v>
      </c>
      <c r="V7" s="11"/>
      <c r="W7" s="11"/>
      <c r="X7" s="11"/>
      <c r="Y7" s="11"/>
      <c r="Z7" s="22">
        <f>IFERROR((TR/(RadSpec!F7*EF_cw*(1/365)*ED_con*def_acf!D7*ET_cw_o*(1/24)*RadSpec!V7))*1,".")</f>
        <v>21193.132482126541</v>
      </c>
      <c r="AA7" s="22">
        <f>IFERROR((TR/(RadSpec!M7*EF_cw*(1/365)*ED_con*def_acf!E7*ET_cw_o*(1/24)*RadSpec!R7))*1,".")</f>
        <v>91760.872048346384</v>
      </c>
      <c r="AB7" s="22">
        <f>IFERROR((TR/(RadSpec!N7*EF_cw*(1/365)*ED_con*def_acf!F7*ET_cw_o*(1/24)*RadSpec!X7))*1,".")</f>
        <v>29612.628647717978</v>
      </c>
      <c r="AC7" s="22">
        <f>IFERROR((TR/(RadSpec!O7*EF_cw*(1/365)*ED_con*def_acf!G7*ET_cw_o*(1/24)*RadSpec!Y7))*1,".")</f>
        <v>19664.089806193639</v>
      </c>
      <c r="AD7" s="22">
        <f>IFERROR((TR/(RadSpec!K7*EF_cw*(1/365)*ED_con*def_acf!C7*ET_cw_o*(1/24)*RadSpec!U7))*1,".")</f>
        <v>23777.190491776219</v>
      </c>
      <c r="AE7" s="43">
        <f>C_*EF_cw*(1/365)*ED_con*(ET_cw_i+ET_cw_o)*(1/24)*RadSpec!U7*def_acf!D7*1</f>
        <v>1.7051037512282534E-2</v>
      </c>
      <c r="AF7" s="43">
        <f>C_*EF_cw*(1/365)*ED_con*(ET_cw_i+ET_cw_o)*(1/24)*RadSpec!V7*def_acf!E7*1</f>
        <v>1.1415525114155251E-2</v>
      </c>
      <c r="AG7" s="43">
        <f>C_*EF_cw*(1/365)*ED_con*(ET_cw_i+ET_cw_o)*(1/24)*RadSpec!W7*def_acf!F7*1</f>
        <v>1.6432539336299908E-2</v>
      </c>
      <c r="AH7" s="43">
        <f>C_*EF_cw*(1/365)*ED_con*(ET_cw_i+ET_cw_o)*(1/24)*RadSpec!X7*def_acf!G7*1</f>
        <v>1.8936190930102646E-2</v>
      </c>
      <c r="AI7" s="43">
        <f>C_*EF_cw*(1/365)*ED_con*(ET_cw_i+ET_cw_o)*(1/24)*RadSpec!T7*def_acf!C7*1</f>
        <v>8.7213500872134926E-3</v>
      </c>
      <c r="AJ7" s="11"/>
      <c r="AK7" s="11"/>
      <c r="AL7" s="11"/>
      <c r="AM7" s="11"/>
      <c r="AN7" s="11"/>
      <c r="AO7" s="22">
        <f>IFERROR(TR/(RadSpec!G7*EF_cw*ED_con*ET_cw_o*(1/24)*IRA_cw),".")</f>
        <v>0.43946385409800048</v>
      </c>
      <c r="AP7" s="22">
        <f>IFERROR(TR/(RadSpec!J7*EF_cw*(1/365)*ED_con*ET_cw_o*(1/24)*GSF_a),".")</f>
        <v>828076.03738110373</v>
      </c>
      <c r="AQ7" s="22">
        <f t="shared" si="14"/>
        <v>0.43946362087258656</v>
      </c>
      <c r="AR7" s="43">
        <f t="shared" si="7"/>
        <v>5000</v>
      </c>
      <c r="AS7" s="43">
        <f t="shared" si="8"/>
        <v>0.22831050228310501</v>
      </c>
      <c r="AT7" s="10"/>
      <c r="AU7" s="10"/>
      <c r="AV7" s="10"/>
    </row>
    <row r="8" spans="1:48" x14ac:dyDescent="0.25">
      <c r="A8" s="23" t="s">
        <v>18</v>
      </c>
      <c r="B8" s="24" t="s">
        <v>289</v>
      </c>
      <c r="C8" s="2"/>
      <c r="D8" s="22">
        <f>IFERROR((TR/(RadSpec!I8*EF_cw*ED_con*IRS_cw*(1/1000)))*1,".")</f>
        <v>38226.409288252922</v>
      </c>
      <c r="E8" s="22">
        <f>IFERROR(IF(A8="H-3",(TR/(RadSpec!G8*EF_cw*ED_con*ET_cw_o*(1/24)*IRA_cw*(1/17)*1000))*1,(TR/(RadSpec!G8*EF_cw*ED_con*ET_cw_o*(1/24)*IRA_cw*(1/PEFsc)*1000))*1),".")</f>
        <v>2097.6470481176775</v>
      </c>
      <c r="F8" s="22">
        <f>IFERROR((TR/(RadSpec!F8*EF_cw*(1/365)*ED_con*def_acf!D8*ET_cw_o*(1/24)*RadSpec!V8))*1,".")</f>
        <v>91.492303642351217</v>
      </c>
      <c r="G8" s="22">
        <f t="shared" si="12"/>
        <v>87.467899812971012</v>
      </c>
      <c r="H8" s="43">
        <f t="shared" si="1"/>
        <v>82.5</v>
      </c>
      <c r="I8" s="43">
        <f t="shared" si="2"/>
        <v>6.4422246467249371</v>
      </c>
      <c r="J8" s="43">
        <f>C_*EF_cw*(1/365)*ED_con*(ET_cw_i+ET_cw_o)*(1/24)*RadSpec!U8*def_acf!D8*1</f>
        <v>2.0130603427112488E-2</v>
      </c>
      <c r="K8" s="4"/>
      <c r="L8" s="4"/>
      <c r="M8" s="4"/>
      <c r="N8" s="4"/>
      <c r="O8" s="22">
        <f>IFERROR((TR/(RadSpec!I8*EF_cw*ED_con*IRS_cw*(1/1000)))*1,".")</f>
        <v>38226.409288252922</v>
      </c>
      <c r="P8" s="22">
        <f>IFERROR(IF(A8="H-3",(TR/(RadSpec!G8*EF_cw*ED_con*ET_cw_o*(1/24)*IRA_cw*(1/17)*1000))*1,(TR/(RadSpec!G8*EF_cw*ED_con*ET_cw_o*(1/24)*IRA_cw*(1/PEF__sc)*1000))*1),".")</f>
        <v>320773.16943010403</v>
      </c>
      <c r="Q8" s="22">
        <f>IFERROR((TR/(RadSpec!F8*EF_cw*(1/365)*ED_con*def_acf!D8*ET_cw_o*(1/24)*RadSpec!V8))*1,".")</f>
        <v>91.492303642351217</v>
      </c>
      <c r="R8" s="22">
        <f t="shared" si="13"/>
        <v>91.247881946373923</v>
      </c>
      <c r="S8" s="43">
        <f t="shared" si="4"/>
        <v>82.5</v>
      </c>
      <c r="T8" s="43">
        <f t="shared" si="5"/>
        <v>4.2127942114117772E-2</v>
      </c>
      <c r="U8" s="43">
        <f>C_*EF_cw*(1/365)*ED_con*(ET_cw_i+ET_cw_o)*(1/24)*RadSpec!U8*def_acf!D8*1</f>
        <v>2.0130603427112488E-2</v>
      </c>
      <c r="V8" s="11"/>
      <c r="W8" s="11"/>
      <c r="X8" s="11"/>
      <c r="Y8" s="11"/>
      <c r="Z8" s="22">
        <f>IFERROR((TR/(RadSpec!F8*EF_cw*(1/365)*ED_con*def_acf!D8*ET_cw_o*(1/24)*RadSpec!V8))*1,".")</f>
        <v>91.492303642351217</v>
      </c>
      <c r="AA8" s="22">
        <f>IFERROR((TR/(RadSpec!M8*EF_cw*(1/365)*ED_con*def_acf!E8*ET_cw_o*(1/24)*RadSpec!R8))*1,".")</f>
        <v>772.23000027511512</v>
      </c>
      <c r="AB8" s="22">
        <f>IFERROR((TR/(RadSpec!N8*EF_cw*(1/365)*ED_con*def_acf!F8*ET_cw_o*(1/24)*RadSpec!X8))*1,".")</f>
        <v>186.49354506644045</v>
      </c>
      <c r="AC8" s="22">
        <f>IFERROR((TR/(RadSpec!O8*EF_cw*(1/365)*ED_con*def_acf!G8*ET_cw_o*(1/24)*RadSpec!Y8))*1,".")</f>
        <v>103.16788914566558</v>
      </c>
      <c r="AD8" s="22">
        <f>IFERROR((TR/(RadSpec!K8*EF_cw*(1/365)*ED_con*def_acf!C8*ET_cw_o*(1/24)*RadSpec!U8))*1,".")</f>
        <v>1090.6304405941473</v>
      </c>
      <c r="AE8" s="43">
        <f>C_*EF_cw*(1/365)*ED_con*(ET_cw_i+ET_cw_o)*(1/24)*RadSpec!U8*def_acf!D8*1</f>
        <v>2.0130603427112488E-2</v>
      </c>
      <c r="AF8" s="43">
        <f>C_*EF_cw*(1/365)*ED_con*(ET_cw_i+ET_cw_o)*(1/24)*RadSpec!V8*def_acf!E8*1</f>
        <v>1.1002391824309635E-2</v>
      </c>
      <c r="AG8" s="43">
        <f>C_*EF_cw*(1/365)*ED_con*(ET_cw_i+ET_cw_o)*(1/24)*RadSpec!W8*def_acf!F8*1</f>
        <v>1.630789302022178E-2</v>
      </c>
      <c r="AH8" s="43">
        <f>C_*EF_cw*(1/365)*ED_con*(ET_cw_i+ET_cw_o)*(1/24)*RadSpec!X8*def_acf!G8*1</f>
        <v>1.9486783715994587E-2</v>
      </c>
      <c r="AI8" s="43">
        <f>C_*EF_cw*(1/365)*ED_con*(ET_cw_i+ET_cw_o)*(1/24)*RadSpec!T8*def_acf!C8*1</f>
        <v>7.6239399869536748E-3</v>
      </c>
      <c r="AJ8" s="11"/>
      <c r="AK8" s="11"/>
      <c r="AL8" s="11"/>
      <c r="AM8" s="11"/>
      <c r="AN8" s="11"/>
      <c r="AO8" s="22">
        <f>IFERROR(TR/(RadSpec!G8*EF_cw*ED_con*ET_cw_o*(1/24)*IRA_cw),".")</f>
        <v>2.7027027027027026</v>
      </c>
      <c r="AP8" s="22">
        <f>IFERROR(TR/(RadSpec!J8*EF_cw*(1/365)*ED_con*ET_cw_o*(1/24)*GSF_a),".")</f>
        <v>8226.2816871412288</v>
      </c>
      <c r="AQ8" s="22">
        <f t="shared" si="14"/>
        <v>2.7018150352150587</v>
      </c>
      <c r="AR8" s="43">
        <f t="shared" si="7"/>
        <v>5000</v>
      </c>
      <c r="AS8" s="43">
        <f t="shared" si="8"/>
        <v>0.22831050228310501</v>
      </c>
      <c r="AT8" s="10"/>
      <c r="AU8" s="10"/>
      <c r="AV8" s="10"/>
    </row>
    <row r="9" spans="1:48" x14ac:dyDescent="0.25">
      <c r="A9" s="23" t="s">
        <v>19</v>
      </c>
      <c r="B9" s="24" t="s">
        <v>289</v>
      </c>
      <c r="C9" s="109"/>
      <c r="D9" s="22">
        <f>IFERROR((TR/(RadSpec!I9*EF_cw*ED_con*IRS_cw*(1/1000)))*1,".")</f>
        <v>82311.640100584831</v>
      </c>
      <c r="E9" s="22">
        <f>IFERROR(IF(A9="H-3",(TR/(RadSpec!G9*EF_cw*ED_con*ET_cw_o*(1/24)*IRA_cw*(1/17)*1000))*1,(TR/(RadSpec!G9*EF_cw*ED_con*ET_cw_o*(1/24)*IRA_cw*(1/PEFsc)*1000))*1),".")</f>
        <v>2511.7456563221385</v>
      </c>
      <c r="F9" s="22">
        <f>IFERROR((TR/(RadSpec!F9*EF_cw*(1/365)*ED_con*def_acf!D9*ET_cw_o*(1/24)*RadSpec!V9))*1,".")</f>
        <v>6.3674257254236544</v>
      </c>
      <c r="G9" s="22">
        <f t="shared" si="12"/>
        <v>6.3508346940472542</v>
      </c>
      <c r="H9" s="43">
        <f t="shared" si="1"/>
        <v>82.5</v>
      </c>
      <c r="I9" s="43">
        <f t="shared" si="2"/>
        <v>6.4422246467249371</v>
      </c>
      <c r="J9" s="43">
        <f>C_*EF_cw*(1/365)*ED_con*(ET_cw_i+ET_cw_o)*(1/24)*RadSpec!U9*def_acf!D9*1</f>
        <v>2.1383548484728856E-2</v>
      </c>
      <c r="K9" s="4"/>
      <c r="L9" s="4"/>
      <c r="M9" s="4"/>
      <c r="N9" s="4"/>
      <c r="O9" s="22">
        <f>IFERROR((TR/(RadSpec!I9*EF_cw*ED_con*IRS_cw*(1/1000)))*1,".")</f>
        <v>82311.640100584831</v>
      </c>
      <c r="P9" s="22">
        <f>IFERROR(IF(A9="H-3",(TR/(RadSpec!G9*EF_cw*ED_con*ET_cw_o*(1/24)*IRA_cw*(1/17)*1000))*1,(TR/(RadSpec!G9*EF_cw*ED_con*ET_cw_o*(1/24)*IRA_cw*(1/PEF__sc)*1000))*1),".")</f>
        <v>384097.32261857117</v>
      </c>
      <c r="Q9" s="22">
        <f>IFERROR((TR/(RadSpec!F9*EF_cw*(1/365)*ED_con*def_acf!D9*ET_cw_o*(1/24)*RadSpec!V9))*1,".")</f>
        <v>6.3674257254236544</v>
      </c>
      <c r="R9" s="22">
        <f t="shared" si="13"/>
        <v>6.3668276563657473</v>
      </c>
      <c r="S9" s="43">
        <f t="shared" si="4"/>
        <v>82.5</v>
      </c>
      <c r="T9" s="43">
        <f t="shared" si="5"/>
        <v>4.2127942114117772E-2</v>
      </c>
      <c r="U9" s="43">
        <f>C_*EF_cw*(1/365)*ED_con*(ET_cw_i+ET_cw_o)*(1/24)*RadSpec!U9*def_acf!D9*1</f>
        <v>2.1383548484728856E-2</v>
      </c>
      <c r="V9" s="11"/>
      <c r="W9" s="11"/>
      <c r="X9" s="11"/>
      <c r="Y9" s="11"/>
      <c r="Z9" s="22">
        <f>IFERROR((TR/(RadSpec!F9*EF_cw*(1/365)*ED_con*def_acf!D9*ET_cw_o*(1/24)*RadSpec!V9))*1,".")</f>
        <v>6.3674257254236544</v>
      </c>
      <c r="AA9" s="22">
        <f>IFERROR((TR/(RadSpec!M9*EF_cw*(1/365)*ED_con*def_acf!E9*ET_cw_o*(1/24)*RadSpec!R9))*1,".")</f>
        <v>76.809693830181146</v>
      </c>
      <c r="AB9" s="22">
        <f>IFERROR((TR/(RadSpec!N9*EF_cw*(1/365)*ED_con*def_acf!F9*ET_cw_o*(1/24)*RadSpec!X9))*1,".")</f>
        <v>17.716620002120049</v>
      </c>
      <c r="AC9" s="22">
        <f>IFERROR((TR/(RadSpec!O9*EF_cw*(1/365)*ED_con*def_acf!G9*ET_cw_o*(1/24)*RadSpec!Y9))*1,".")</f>
        <v>8.4658155118103497</v>
      </c>
      <c r="AD9" s="22">
        <f>IFERROR((TR/(RadSpec!K9*EF_cw*(1/365)*ED_con*def_acf!C9*ET_cw_o*(1/24)*RadSpec!U9))*1,".")</f>
        <v>117.74052625668334</v>
      </c>
      <c r="AE9" s="43">
        <f>C_*EF_cw*(1/365)*ED_con*(ET_cw_i+ET_cw_o)*(1/24)*RadSpec!U9*def_acf!D9*1</f>
        <v>2.1383548484728856E-2</v>
      </c>
      <c r="AF9" s="43">
        <f>C_*EF_cw*(1/365)*ED_con*(ET_cw_i+ET_cw_o)*(1/24)*RadSpec!V9*def_acf!E9*1</f>
        <v>9.8152178551615295E-3</v>
      </c>
      <c r="AG9" s="43">
        <f>C_*EF_cw*(1/365)*ED_con*(ET_cw_i+ET_cw_o)*(1/24)*RadSpec!W9*def_acf!F9*1</f>
        <v>1.4810280656577373E-2</v>
      </c>
      <c r="AH9" s="43">
        <f>C_*EF_cw*(1/365)*ED_con*(ET_cw_i+ET_cw_o)*(1/24)*RadSpec!X9*def_acf!G9*1</f>
        <v>1.9232678181457213E-2</v>
      </c>
      <c r="AI9" s="43">
        <f>C_*EF_cw*(1/365)*ED_con*(ET_cw_i+ET_cw_o)*(1/24)*RadSpec!T9*def_acf!C9*1</f>
        <v>6.6126517429557765E-3</v>
      </c>
      <c r="AJ9" s="11"/>
      <c r="AK9" s="11"/>
      <c r="AL9" s="11"/>
      <c r="AM9" s="11"/>
      <c r="AN9" s="11"/>
      <c r="AO9" s="22">
        <f>IFERROR(TR/(RadSpec!G9*EF_cw*ED_con*ET_cw_o*(1/24)*IRA_cw),".")</f>
        <v>3.2362459546925568</v>
      </c>
      <c r="AP9" s="22">
        <f>IFERROR(TR/(RadSpec!J9*EF_cw*(1/365)*ED_con*ET_cw_o*(1/24)*GSF_a),".")</f>
        <v>654.65697196097733</v>
      </c>
      <c r="AQ9" s="22">
        <f t="shared" si="14"/>
        <v>3.2203265203617919</v>
      </c>
      <c r="AR9" s="43">
        <f t="shared" si="7"/>
        <v>5000</v>
      </c>
      <c r="AS9" s="43">
        <f t="shared" si="8"/>
        <v>0.22831050228310501</v>
      </c>
      <c r="AT9" s="10"/>
      <c r="AU9" s="10"/>
      <c r="AV9" s="10"/>
    </row>
    <row r="10" spans="1:48" x14ac:dyDescent="0.25">
      <c r="A10" s="25" t="s">
        <v>20</v>
      </c>
      <c r="B10" s="24" t="s">
        <v>275</v>
      </c>
      <c r="C10" s="2"/>
      <c r="D10" s="22">
        <f>IFERROR((TR/(RadSpec!I10*EF_cw*ED_con*IRS_cw*(1/1000)))*1,".")</f>
        <v>381.37407171167354</v>
      </c>
      <c r="E10" s="22">
        <f>IFERROR(IF(A10="H-3",(TR/(RadSpec!G10*EF_cw*ED_con*ET_cw_o*(1/24)*IRA_cw*(1/17)*1000))*1,(TR/(RadSpec!G10*EF_cw*ED_con*ET_cw_o*(1/24)*IRA_cw*(1/PEFsc)*1000))*1),".")</f>
        <v>1380.0309527089985</v>
      </c>
      <c r="F10" s="22">
        <f>IFERROR((TR/(RadSpec!F10*EF_cw*(1/365)*ED_con*def_acf!D10*ET_cw_o*(1/24)*RadSpec!V10))*1,".")</f>
        <v>107701.35622940498</v>
      </c>
      <c r="G10" s="22">
        <f t="shared" ref="G10" si="15">(IF(AND(ISNUMBER(D10),ISNUMBER(E10),ISNUMBER(F10)),1/((1/D10)+(1/E10)+(1/F10)),IF(AND(ISNUMBER(D10),ISNUMBER(E10),NOT(ISNUMBER(F10))), 1/((1/D10)+(1/E10)),IF(AND(ISNUMBER(D10),NOT(ISNUMBER(E10)),ISNUMBER(F10)),1/((1/D10)+(1/F10)),IF(AND(NOT(ISNUMBER(D10)),ISNUMBER(E10),ISNUMBER(F10)),1/((1/E10)+(1/F10)),IF(AND(ISNUMBER(D10),NOT(ISNUMBER(E10)),NOT(ISNUMBER(F10))),1/((1/D10)),IF(AND(NOT(ISNUMBER(D10)),NOT(ISNUMBER(E10)),ISNUMBER(F10)),1/((1/F10)),IF(AND(NOT(ISNUMBER(D10)),ISNUMBER(E10),NOT(ISNUMBER(F10))),1/((1/E10)),IF(AND(NOT(ISNUMBER(D10)),NOT(ISNUMBER(E10)),NOT(ISNUMBER(F10))),".")))))))))</f>
        <v>297.97343537085982</v>
      </c>
      <c r="H10" s="43">
        <f t="shared" si="1"/>
        <v>82.5</v>
      </c>
      <c r="I10" s="43">
        <f t="shared" si="2"/>
        <v>6.4422246467249371</v>
      </c>
      <c r="J10" s="43">
        <f>C_*EF_cw*(1/365)*ED_con*(ET_cw_i+ET_cw_o)*(1/24)*RadSpec!U10*def_acf!D10*1</f>
        <v>1.6811714105399361E-2</v>
      </c>
      <c r="K10" s="4"/>
      <c r="L10" s="4"/>
      <c r="M10" s="4"/>
      <c r="N10" s="4"/>
      <c r="O10" s="22">
        <f>IFERROR((TR/(RadSpec!I10*EF_cw*ED_con*IRS_cw*(1/1000)))*1,".")</f>
        <v>381.37407171167354</v>
      </c>
      <c r="P10" s="22">
        <f>IFERROR(IF(A10="H-3",(TR/(RadSpec!G10*EF_cw*ED_con*ET_cw_o*(1/24)*IRA_cw*(1/17)*1000))*1,(TR/(RadSpec!G10*EF_cw*ED_con*ET_cw_o*(1/24)*IRA_cw*(1/PEF__sc)*1000))*1),".")</f>
        <v>211034.97988822628</v>
      </c>
      <c r="Q10" s="22">
        <f>IFERROR((TR/(RadSpec!F10*EF_cw*(1/365)*ED_con*def_acf!D10*ET_cw_o*(1/24)*RadSpec!V10))*1,".")</f>
        <v>107701.35622940498</v>
      </c>
      <c r="R10" s="22">
        <f t="shared" ref="R10" si="16">(IF(AND(ISNUMBER(O10),ISNUMBER(P10),ISNUMBER(Q10)),1/((1/O10)+(1/P10)+(1/Q10)),IF(AND(ISNUMBER(O10),ISNUMBER(P10),NOT(ISNUMBER(Q10))), 1/((1/O10)+(1/P10)),IF(AND(ISNUMBER(O10),NOT(ISNUMBER(P10)),ISNUMBER(Q10)),1/((1/O10)+(1/Q10)),IF(AND(NOT(ISNUMBER(O10)),ISNUMBER(P10),ISNUMBER(Q10)),1/((1/P10)+(1/Q10)),IF(AND(ISNUMBER(O10),NOT(ISNUMBER(P10)),NOT(ISNUMBER(Q10))),1/((1/O10)),IF(AND(NOT(ISNUMBER(O10)),NOT(ISNUMBER(P10)),ISNUMBER(Q10)),1/((1/Q10)),IF(AND(NOT(ISNUMBER(O10)),ISNUMBER(P10),NOT(ISNUMBER(Q10))),1/((1/P10)),IF(AND(NOT(ISNUMBER(O10)),NOT(ISNUMBER(P10)),NOT(ISNUMBER(Q10))),".")))))))))</f>
        <v>379.34525981994659</v>
      </c>
      <c r="S10" s="43">
        <f t="shared" si="4"/>
        <v>82.5</v>
      </c>
      <c r="T10" s="43">
        <f t="shared" si="5"/>
        <v>4.2127942114117772E-2</v>
      </c>
      <c r="U10" s="43">
        <f>C_*EF_cw*(1/365)*ED_con*(ET_cw_i+ET_cw_o)*(1/24)*RadSpec!U10*def_acf!D10*1</f>
        <v>1.6811714105399361E-2</v>
      </c>
      <c r="V10" s="11"/>
      <c r="W10" s="11"/>
      <c r="X10" s="11"/>
      <c r="Y10" s="11"/>
      <c r="Z10" s="22">
        <f>IFERROR((TR/(RadSpec!F10*EF_cw*(1/365)*ED_con*def_acf!D10*ET_cw_o*(1/24)*RadSpec!V10))*1,".")</f>
        <v>107701.35622940498</v>
      </c>
      <c r="AA10" s="22">
        <f>IFERROR((TR/(RadSpec!M10*EF_cw*(1/365)*ED_con*def_acf!E10*ET_cw_o*(1/24)*RadSpec!R10))*1,".")</f>
        <v>462615.86678762984</v>
      </c>
      <c r="AB10" s="22">
        <f>IFERROR((TR/(RadSpec!N10*EF_cw*(1/365)*ED_con*def_acf!F10*ET_cw_o*(1/24)*RadSpec!X10))*1,".")</f>
        <v>144109.71184378301</v>
      </c>
      <c r="AC10" s="22">
        <f>IFERROR((TR/(RadSpec!O10*EF_cw*(1/365)*ED_con*def_acf!G10*ET_cw_o*(1/24)*RadSpec!Y10))*1,".")</f>
        <v>97464.806878762844</v>
      </c>
      <c r="AD10" s="22">
        <f>IFERROR((TR/(RadSpec!K10*EF_cw*(1/365)*ED_con*def_acf!C10*ET_cw_o*(1/24)*RadSpec!U10))*1,".")</f>
        <v>236855.46841726691</v>
      </c>
      <c r="AE10" s="43">
        <f>C_*EF_cw*(1/365)*ED_con*(ET_cw_i+ET_cw_o)*(1/24)*RadSpec!U10*def_acf!D10*1</f>
        <v>1.6811714105399361E-2</v>
      </c>
      <c r="AF10" s="43">
        <f>C_*EF_cw*(1/365)*ED_con*(ET_cw_i+ET_cw_o)*(1/24)*RadSpec!V10*def_acf!E10*1</f>
        <v>1.1233538481900594E-2</v>
      </c>
      <c r="AG10" s="43">
        <f>C_*EF_cw*(1/365)*ED_con*(ET_cw_i+ET_cw_o)*(1/24)*RadSpec!W10*def_acf!F10*1</f>
        <v>1.6362709467348583E-2</v>
      </c>
      <c r="AH10" s="43">
        <f>C_*EF_cw*(1/365)*ED_con*(ET_cw_i+ET_cw_o)*(1/24)*RadSpec!X10*def_acf!G10*1</f>
        <v>1.8937755347272284E-2</v>
      </c>
      <c r="AI10" s="43">
        <f>C_*EF_cw*(1/365)*ED_con*(ET_cw_i+ET_cw_o)*(1/24)*RadSpec!T10*def_acf!C10*1</f>
        <v>7.6283840810231736E-3</v>
      </c>
      <c r="AJ10" s="11"/>
      <c r="AK10" s="11"/>
      <c r="AL10" s="11"/>
      <c r="AM10" s="11"/>
      <c r="AN10" s="11"/>
      <c r="AO10" s="22">
        <f>IFERROR(TR/(RadSpec!G10*EF_cw*ED_con*ET_cw_o*(1/24)*IRA_cw),".")</f>
        <v>1.7780938833570412</v>
      </c>
      <c r="AP10" s="22">
        <f>IFERROR(TR/(RadSpec!J10*EF_cw*(1/365)*ED_con*ET_cw_o*(1/24)*GSF_a),".")</f>
        <v>2698693.8484434532</v>
      </c>
      <c r="AQ10" s="22">
        <f t="shared" ref="AQ10" si="17">IFERROR(IF(AND(ISNUMBER(AO10),ISNUMBER(AP10)),1/((1/AO10)+(1/AP10)),IF(AND(ISNUMBER(AO10),NOT(ISNUMBER(AP10))),1/((1/AO10)),IF(AND(NOT(ISNUMBER(AO10)),ISNUMBER(AP10)),1/((1/AP10)),IF(AND(NOT(ISNUMBER(AO10)),NOT(ISNUMBER(AP10))),".")))),".")</f>
        <v>1.7780927118214938</v>
      </c>
      <c r="AR10" s="43">
        <f t="shared" si="7"/>
        <v>5000</v>
      </c>
      <c r="AS10" s="43">
        <f t="shared" si="8"/>
        <v>0.22831050228310501</v>
      </c>
      <c r="AT10" s="10"/>
      <c r="AU10" s="10"/>
      <c r="AV10" s="10"/>
    </row>
    <row r="11" spans="1:48" x14ac:dyDescent="0.25">
      <c r="A11" s="23" t="s">
        <v>21</v>
      </c>
      <c r="B11" s="24" t="s">
        <v>289</v>
      </c>
      <c r="C11" s="2"/>
      <c r="D11" s="22" t="str">
        <f>IFERROR((TR/(RadSpec!I11*EF_cw*ED_con*IRS_cw*(1/1000)))*1,".")</f>
        <v>.</v>
      </c>
      <c r="E11" s="22" t="str">
        <f>IFERROR(IF(A11="H-3",(TR/(RadSpec!G11*EF_cw*ED_con*ET_cw_o*(1/24)*IRA_cw*(1/17)*1000))*1,(TR/(RadSpec!G11*EF_cw*ED_con*ET_cw_o*(1/24)*IRA_cw*(1/PEFsc)*1000))*1),".")</f>
        <v>.</v>
      </c>
      <c r="F11" s="22">
        <f>IFERROR((TR/(RadSpec!F11*EF_cw*(1/365)*ED_con*def_acf!D11*ET_cw_o*(1/24)*RadSpec!V11))*1,".")</f>
        <v>565.59435988378232</v>
      </c>
      <c r="G11" s="22">
        <f t="shared" ref="G11" si="18">(IF(AND(ISNUMBER(D11),ISNUMBER(E11),ISNUMBER(F11)),1/((1/D11)+(1/E11)+(1/F11)),IF(AND(ISNUMBER(D11),ISNUMBER(E11),NOT(ISNUMBER(F11))), 1/((1/D11)+(1/E11)),IF(AND(ISNUMBER(D11),NOT(ISNUMBER(E11)),ISNUMBER(F11)),1/((1/D11)+(1/F11)),IF(AND(NOT(ISNUMBER(D11)),ISNUMBER(E11),ISNUMBER(F11)),1/((1/E11)+(1/F11)),IF(AND(ISNUMBER(D11),NOT(ISNUMBER(E11)),NOT(ISNUMBER(F11))),1/((1/D11)),IF(AND(NOT(ISNUMBER(D11)),NOT(ISNUMBER(E11)),ISNUMBER(F11)),1/((1/F11)),IF(AND(NOT(ISNUMBER(D11)),ISNUMBER(E11),NOT(ISNUMBER(F11))),1/((1/E11)),IF(AND(NOT(ISNUMBER(D11)),NOT(ISNUMBER(E11)),NOT(ISNUMBER(F11))),".")))))))))</f>
        <v>565.59435988378232</v>
      </c>
      <c r="H11" s="43">
        <f t="shared" si="1"/>
        <v>82.5</v>
      </c>
      <c r="I11" s="43">
        <f t="shared" si="2"/>
        <v>6.4422246467249371</v>
      </c>
      <c r="J11" s="43">
        <f>C_*EF_cw*(1/365)*ED_con*(ET_cw_i+ET_cw_o)*(1/24)*RadSpec!U11*def_acf!D11*1</f>
        <v>1.6862148207837168E-2</v>
      </c>
      <c r="K11" s="4"/>
      <c r="L11" s="4"/>
      <c r="M11" s="4"/>
      <c r="N11" s="4"/>
      <c r="O11" s="22" t="str">
        <f>IFERROR((TR/(RadSpec!I11*EF_cw*ED_con*IRS_cw*(1/1000)))*1,".")</f>
        <v>.</v>
      </c>
      <c r="P11" s="22" t="str">
        <f>IFERROR(IF(A11="H-3",(TR/(RadSpec!G11*EF_cw*ED_con*ET_cw_o*(1/24)*IRA_cw*(1/17)*1000))*1,(TR/(RadSpec!G11*EF_cw*ED_con*ET_cw_o*(1/24)*IRA_cw*(1/PEF__sc)*1000))*1),".")</f>
        <v>.</v>
      </c>
      <c r="Q11" s="22">
        <f>IFERROR((TR/(RadSpec!F11*EF_cw*(1/365)*ED_con*def_acf!D11*ET_cw_o*(1/24)*RadSpec!V11))*1,".")</f>
        <v>565.59435988378232</v>
      </c>
      <c r="R11" s="22">
        <f t="shared" ref="R11" si="19">(IF(AND(ISNUMBER(O11),ISNUMBER(P11),ISNUMBER(Q11)),1/((1/O11)+(1/P11)+(1/Q11)),IF(AND(ISNUMBER(O11),ISNUMBER(P11),NOT(ISNUMBER(Q11))), 1/((1/O11)+(1/P11)),IF(AND(ISNUMBER(O11),NOT(ISNUMBER(P11)),ISNUMBER(Q11)),1/((1/O11)+(1/Q11)),IF(AND(NOT(ISNUMBER(O11)),ISNUMBER(P11),ISNUMBER(Q11)),1/((1/P11)+(1/Q11)),IF(AND(ISNUMBER(O11),NOT(ISNUMBER(P11)),NOT(ISNUMBER(Q11))),1/((1/O11)),IF(AND(NOT(ISNUMBER(O11)),NOT(ISNUMBER(P11)),ISNUMBER(Q11)),1/((1/Q11)),IF(AND(NOT(ISNUMBER(O11)),ISNUMBER(P11),NOT(ISNUMBER(Q11))),1/((1/P11)),IF(AND(NOT(ISNUMBER(O11)),NOT(ISNUMBER(P11)),NOT(ISNUMBER(Q11))),".")))))))))</f>
        <v>565.59435988378232</v>
      </c>
      <c r="S11" s="43">
        <f t="shared" si="4"/>
        <v>82.5</v>
      </c>
      <c r="T11" s="43">
        <f t="shared" si="5"/>
        <v>4.2127942114117772E-2</v>
      </c>
      <c r="U11" s="43">
        <f>C_*EF_cw*(1/365)*ED_con*(ET_cw_i+ET_cw_o)*(1/24)*RadSpec!U11*def_acf!D11*1</f>
        <v>1.6862148207837168E-2</v>
      </c>
      <c r="V11" s="11"/>
      <c r="W11" s="11"/>
      <c r="X11" s="11"/>
      <c r="Y11" s="11"/>
      <c r="Z11" s="22">
        <f>IFERROR((TR/(RadSpec!F11*EF_cw*(1/365)*ED_con*def_acf!D11*ET_cw_o*(1/24)*RadSpec!V11))*1,".")</f>
        <v>565.59435988378232</v>
      </c>
      <c r="AA11" s="22">
        <f>IFERROR((TR/(RadSpec!M11*EF_cw*(1/365)*ED_con*def_acf!E11*ET_cw_o*(1/24)*RadSpec!R11))*1,".")</f>
        <v>3245.1446979931011</v>
      </c>
      <c r="AB11" s="22">
        <f>IFERROR((TR/(RadSpec!N11*EF_cw*(1/365)*ED_con*def_acf!F11*ET_cw_o*(1/24)*RadSpec!X11))*1,".")</f>
        <v>862.69122887877165</v>
      </c>
      <c r="AC11" s="22">
        <f>IFERROR((TR/(RadSpec!O11*EF_cw*(1/365)*ED_con*def_acf!G11*ET_cw_o*(1/24)*RadSpec!Y11))*1,".")</f>
        <v>514.97474376728019</v>
      </c>
      <c r="AD11" s="22">
        <f>IFERROR((TR/(RadSpec!K11*EF_cw*(1/365)*ED_con*def_acf!C11*ET_cw_o*(1/24)*RadSpec!U11))*1,".")</f>
        <v>3865.4678465384013</v>
      </c>
      <c r="AE11" s="43">
        <f>C_*EF_cw*(1/365)*ED_con*(ET_cw_i+ET_cw_o)*(1/24)*RadSpec!U11*def_acf!D11*1</f>
        <v>1.6862148207837168E-2</v>
      </c>
      <c r="AF11" s="43">
        <f>C_*EF_cw*(1/365)*ED_con*(ET_cw_i+ET_cw_o)*(1/24)*RadSpec!V11*def_acf!E11*1</f>
        <v>1.2039811643835616E-2</v>
      </c>
      <c r="AG11" s="43">
        <f>C_*EF_cw*(1/365)*ED_con*(ET_cw_i+ET_cw_o)*(1/24)*RadSpec!W11*def_acf!F11*1</f>
        <v>1.6414480556301667E-2</v>
      </c>
      <c r="AH11" s="43">
        <f>C_*EF_cw*(1/365)*ED_con*(ET_cw_i+ET_cw_o)*(1/24)*RadSpec!X11*def_acf!G11*1</f>
        <v>1.9226147560682534E-2</v>
      </c>
      <c r="AI11" s="43">
        <f>C_*EF_cw*(1/365)*ED_con*(ET_cw_i+ET_cw_o)*(1/24)*RadSpec!T11*def_acf!C11*1</f>
        <v>1.0257428363443857E-2</v>
      </c>
      <c r="AJ11" s="11"/>
      <c r="AK11" s="11"/>
      <c r="AL11" s="11"/>
      <c r="AM11" s="11"/>
      <c r="AN11" s="11"/>
      <c r="AO11" s="22" t="str">
        <f>IFERROR(TR/(RadSpec!G11*EF_cw*ED_con*ET_cw_o*(1/24)*IRA_cw),".")</f>
        <v>.</v>
      </c>
      <c r="AP11" s="22">
        <f>IFERROR(TR/(RadSpec!J11*EF_cw*(1/365)*ED_con*ET_cw_o*(1/24)*GSF_a),".")</f>
        <v>38005.921472506583</v>
      </c>
      <c r="AQ11" s="22">
        <f t="shared" ref="AQ11" si="20">IFERROR(IF(AND(ISNUMBER(AO11),ISNUMBER(AP11)),1/((1/AO11)+(1/AP11)),IF(AND(ISNUMBER(AO11),NOT(ISNUMBER(AP11))),1/((1/AO11)),IF(AND(NOT(ISNUMBER(AO11)),ISNUMBER(AP11)),1/((1/AP11)),IF(AND(NOT(ISNUMBER(AO11)),NOT(ISNUMBER(AP11))),".")))),".")</f>
        <v>38005.921472506583</v>
      </c>
      <c r="AR11" s="43">
        <f t="shared" si="7"/>
        <v>5000</v>
      </c>
      <c r="AS11" s="43">
        <f t="shared" si="8"/>
        <v>0.22831050228310501</v>
      </c>
      <c r="AT11" s="10"/>
      <c r="AU11" s="10"/>
      <c r="AV11" s="10"/>
    </row>
    <row r="12" spans="1:48" x14ac:dyDescent="0.25">
      <c r="A12" s="23" t="s">
        <v>22</v>
      </c>
      <c r="B12" s="24" t="s">
        <v>289</v>
      </c>
      <c r="C12" s="109"/>
      <c r="D12" s="22" t="str">
        <f>IFERROR((TR/(RadSpec!I12*EF_cw*ED_con*IRS_cw*(1/1000)))*1,".")</f>
        <v>.</v>
      </c>
      <c r="E12" s="22" t="str">
        <f>IFERROR(IF(A12="H-3",(TR/(RadSpec!G12*EF_cw*ED_con*ET_cw_o*(1/24)*IRA_cw*(1/17)*1000))*1,(TR/(RadSpec!G12*EF_cw*ED_con*ET_cw_o*(1/24)*IRA_cw*(1/PEFsc)*1000))*1),".")</f>
        <v>.</v>
      </c>
      <c r="F12" s="22">
        <f>IFERROR((TR/(RadSpec!F12*EF_cw*(1/365)*ED_con*def_acf!D12*ET_cw_o*(1/24)*RadSpec!V12))*1,".")</f>
        <v>114.8092602118423</v>
      </c>
      <c r="G12" s="22">
        <f t="shared" ref="G12" si="21">(IF(AND(ISNUMBER(D12),ISNUMBER(E12),ISNUMBER(F12)),1/((1/D12)+(1/E12)+(1/F12)),IF(AND(ISNUMBER(D12),ISNUMBER(E12),NOT(ISNUMBER(F12))), 1/((1/D12)+(1/E12)),IF(AND(ISNUMBER(D12),NOT(ISNUMBER(E12)),ISNUMBER(F12)),1/((1/D12)+(1/F12)),IF(AND(NOT(ISNUMBER(D12)),ISNUMBER(E12),ISNUMBER(F12)),1/((1/E12)+(1/F12)),IF(AND(ISNUMBER(D12),NOT(ISNUMBER(E12)),NOT(ISNUMBER(F12))),1/((1/D12)),IF(AND(NOT(ISNUMBER(D12)),NOT(ISNUMBER(E12)),ISNUMBER(F12)),1/((1/F12)),IF(AND(NOT(ISNUMBER(D12)),ISNUMBER(E12),NOT(ISNUMBER(F12))),1/((1/E12)),IF(AND(NOT(ISNUMBER(D12)),NOT(ISNUMBER(E12)),NOT(ISNUMBER(F12))),".")))))))))</f>
        <v>114.8092602118423</v>
      </c>
      <c r="H12" s="43">
        <f t="shared" si="1"/>
        <v>82.5</v>
      </c>
      <c r="I12" s="43">
        <f t="shared" si="2"/>
        <v>6.4422246467249371</v>
      </c>
      <c r="J12" s="43">
        <f>C_*EF_cw*(1/365)*ED_con*(ET_cw_i+ET_cw_o)*(1/24)*RadSpec!U12*def_acf!D12*1</f>
        <v>1.8018434244265275E-2</v>
      </c>
      <c r="K12" s="4"/>
      <c r="L12" s="4"/>
      <c r="M12" s="4"/>
      <c r="N12" s="4"/>
      <c r="O12" s="22" t="str">
        <f>IFERROR((TR/(RadSpec!I12*EF_cw*ED_con*IRS_cw*(1/1000)))*1,".")</f>
        <v>.</v>
      </c>
      <c r="P12" s="22" t="str">
        <f>IFERROR(IF(A12="H-3",(TR/(RadSpec!G12*EF_cw*ED_con*ET_cw_o*(1/24)*IRA_cw*(1/17)*1000))*1,(TR/(RadSpec!G12*EF_cw*ED_con*ET_cw_o*(1/24)*IRA_cw*(1/PEF__sc)*1000))*1),".")</f>
        <v>.</v>
      </c>
      <c r="Q12" s="22">
        <f>IFERROR((TR/(RadSpec!F12*EF_cw*(1/365)*ED_con*def_acf!D12*ET_cw_o*(1/24)*RadSpec!V12))*1,".")</f>
        <v>114.8092602118423</v>
      </c>
      <c r="R12" s="22">
        <f t="shared" ref="R12" si="22">(IF(AND(ISNUMBER(O12),ISNUMBER(P12),ISNUMBER(Q12)),1/((1/O12)+(1/P12)+(1/Q12)),IF(AND(ISNUMBER(O12),ISNUMBER(P12),NOT(ISNUMBER(Q12))), 1/((1/O12)+(1/P12)),IF(AND(ISNUMBER(O12),NOT(ISNUMBER(P12)),ISNUMBER(Q12)),1/((1/O12)+(1/Q12)),IF(AND(NOT(ISNUMBER(O12)),ISNUMBER(P12),ISNUMBER(Q12)),1/((1/P12)+(1/Q12)),IF(AND(ISNUMBER(O12),NOT(ISNUMBER(P12)),NOT(ISNUMBER(Q12))),1/((1/O12)),IF(AND(NOT(ISNUMBER(O12)),NOT(ISNUMBER(P12)),ISNUMBER(Q12)),1/((1/Q12)),IF(AND(NOT(ISNUMBER(O12)),ISNUMBER(P12),NOT(ISNUMBER(Q12))),1/((1/P12)),IF(AND(NOT(ISNUMBER(O12)),NOT(ISNUMBER(P12)),NOT(ISNUMBER(Q12))),".")))))))))</f>
        <v>114.8092602118423</v>
      </c>
      <c r="S12" s="43">
        <f t="shared" si="4"/>
        <v>82.5</v>
      </c>
      <c r="T12" s="43">
        <f t="shared" si="5"/>
        <v>4.2127942114117772E-2</v>
      </c>
      <c r="U12" s="43">
        <f>C_*EF_cw*(1/365)*ED_con*(ET_cw_i+ET_cw_o)*(1/24)*RadSpec!U12*def_acf!D12*1</f>
        <v>1.8018434244265275E-2</v>
      </c>
      <c r="V12" s="11"/>
      <c r="W12" s="11"/>
      <c r="X12" s="11"/>
      <c r="Y12" s="11"/>
      <c r="Z12" s="22">
        <f>IFERROR((TR/(RadSpec!F12*EF_cw*(1/365)*ED_con*def_acf!D12*ET_cw_o*(1/24)*RadSpec!V12))*1,".")</f>
        <v>114.8092602118423</v>
      </c>
      <c r="AA12" s="22">
        <f>IFERROR((TR/(RadSpec!M12*EF_cw*(1/365)*ED_con*def_acf!E12*ET_cw_o*(1/24)*RadSpec!R12))*1,".")</f>
        <v>800.58522365015449</v>
      </c>
      <c r="AB12" s="22">
        <f>IFERROR((TR/(RadSpec!N12*EF_cw*(1/365)*ED_con*def_acf!F12*ET_cw_o*(1/24)*RadSpec!X12))*1,".")</f>
        <v>199.36141843837169</v>
      </c>
      <c r="AC12" s="22">
        <f>IFERROR((TR/(RadSpec!O12*EF_cw*(1/365)*ED_con*def_acf!G12*ET_cw_o*(1/24)*RadSpec!Y12))*1,".")</f>
        <v>115.31307449176309</v>
      </c>
      <c r="AD12" s="22">
        <f>IFERROR((TR/(RadSpec!K12*EF_cw*(1/365)*ED_con*def_acf!C12*ET_cw_o*(1/24)*RadSpec!U12))*1,".")</f>
        <v>1035.5210269156105</v>
      </c>
      <c r="AE12" s="43">
        <f>C_*EF_cw*(1/365)*ED_con*(ET_cw_i+ET_cw_o)*(1/24)*RadSpec!U12*def_acf!D12*1</f>
        <v>1.8018434244265275E-2</v>
      </c>
      <c r="AF12" s="43">
        <f>C_*EF_cw*(1/365)*ED_con*(ET_cw_i+ET_cw_o)*(1/24)*RadSpec!V12*def_acf!E12*1</f>
        <v>1.137075834900169E-2</v>
      </c>
      <c r="AG12" s="43">
        <f>C_*EF_cw*(1/365)*ED_con*(ET_cw_i+ET_cw_o)*(1/24)*RadSpec!W12*def_acf!F12*1</f>
        <v>1.6371533578349473E-2</v>
      </c>
      <c r="AH12" s="43">
        <f>C_*EF_cw*(1/365)*ED_con*(ET_cw_i+ET_cw_o)*(1/24)*RadSpec!X12*def_acf!G12*1</f>
        <v>1.9191317583217533E-2</v>
      </c>
      <c r="AI12" s="43">
        <f>C_*EF_cw*(1/365)*ED_con*(ET_cw_i+ET_cw_o)*(1/24)*RadSpec!T12*def_acf!C12*1</f>
        <v>8.6421828164831727E-3</v>
      </c>
      <c r="AJ12" s="11"/>
      <c r="AK12" s="11"/>
      <c r="AL12" s="11"/>
      <c r="AM12" s="11"/>
      <c r="AN12" s="11"/>
      <c r="AO12" s="22" t="str">
        <f>IFERROR(TR/(RadSpec!G12*EF_cw*ED_con*ET_cw_o*(1/24)*IRA_cw),".")</f>
        <v>.</v>
      </c>
      <c r="AP12" s="22">
        <f>IFERROR(TR/(RadSpec!J12*EF_cw*(1/365)*ED_con*ET_cw_o*(1/24)*GSF_a),".")</f>
        <v>8826.3163513797645</v>
      </c>
      <c r="AQ12" s="22">
        <f t="shared" ref="AQ12" si="23">IFERROR(IF(AND(ISNUMBER(AO12),ISNUMBER(AP12)),1/((1/AO12)+(1/AP12)),IF(AND(ISNUMBER(AO12),NOT(ISNUMBER(AP12))),1/((1/AO12)),IF(AND(NOT(ISNUMBER(AO12)),ISNUMBER(AP12)),1/((1/AP12)),IF(AND(NOT(ISNUMBER(AO12)),NOT(ISNUMBER(AP12))),".")))),".")</f>
        <v>8826.3163513797645</v>
      </c>
      <c r="AR12" s="43">
        <f t="shared" si="7"/>
        <v>5000</v>
      </c>
      <c r="AS12" s="43">
        <f t="shared" si="8"/>
        <v>0.22831050228310501</v>
      </c>
      <c r="AT12" s="10"/>
      <c r="AU12" s="10"/>
      <c r="AV12" s="10"/>
    </row>
    <row r="13" spans="1:48" x14ac:dyDescent="0.25">
      <c r="A13" s="23" t="s">
        <v>23</v>
      </c>
      <c r="B13" s="24" t="s">
        <v>289</v>
      </c>
      <c r="C13" s="2"/>
      <c r="D13" s="22">
        <f>IFERROR((TR/(RadSpec!I13*EF_cw*ED_con*IRS_cw*(1/1000)))*1,".")</f>
        <v>257.95301385852571</v>
      </c>
      <c r="E13" s="22">
        <f>IFERROR(IF(A13="H-3",(TR/(RadSpec!G13*EF_cw*ED_con*ET_cw_o*(1/24)*IRA_cw*(1/17)*1000))*1,(TR/(RadSpec!G13*EF_cw*ED_con*ET_cw_o*(1/24)*IRA_cw*(1/PEFsc)*1000))*1),".")</f>
        <v>5.413282704819812</v>
      </c>
      <c r="F13" s="22">
        <f>IFERROR((TR/(RadSpec!F13*EF_cw*(1/365)*ED_con*def_acf!D13*ET_cw_o*(1/24)*RadSpec!V13))*1,".")</f>
        <v>811.23975052342564</v>
      </c>
      <c r="G13" s="22">
        <f t="shared" ref="G13:G14" si="24">(IF(AND(ISNUMBER(D13),ISNUMBER(E13),ISNUMBER(F13)),1/((1/D13)+(1/E13)+(1/F13)),IF(AND(ISNUMBER(D13),ISNUMBER(E13),NOT(ISNUMBER(F13))), 1/((1/D13)+(1/E13)),IF(AND(ISNUMBER(D13),NOT(ISNUMBER(E13)),ISNUMBER(F13)),1/((1/D13)+(1/F13)),IF(AND(NOT(ISNUMBER(D13)),ISNUMBER(E13),ISNUMBER(F13)),1/((1/E13)+(1/F13)),IF(AND(ISNUMBER(D13),NOT(ISNUMBER(E13)),NOT(ISNUMBER(F13))),1/((1/D13)),IF(AND(NOT(ISNUMBER(D13)),NOT(ISNUMBER(E13)),ISNUMBER(F13)),1/((1/F13)),IF(AND(NOT(ISNUMBER(D13)),ISNUMBER(E13),NOT(ISNUMBER(F13))),1/((1/E13)),IF(AND(NOT(ISNUMBER(D13)),NOT(ISNUMBER(E13)),NOT(ISNUMBER(F13))),".")))))))))</f>
        <v>5.2675896576956145</v>
      </c>
      <c r="H13" s="43">
        <f t="shared" si="1"/>
        <v>82.5</v>
      </c>
      <c r="I13" s="43">
        <f t="shared" si="2"/>
        <v>6.4422246467249371</v>
      </c>
      <c r="J13" s="43">
        <f>C_*EF_cw*(1/365)*ED_con*(ET_cw_i+ET_cw_o)*(1/24)*RadSpec!U13*def_acf!D13*1</f>
        <v>2.3830950238309587E-2</v>
      </c>
      <c r="K13" s="4"/>
      <c r="L13" s="4"/>
      <c r="M13" s="4"/>
      <c r="N13" s="4"/>
      <c r="O13" s="22">
        <f>IFERROR((TR/(RadSpec!I13*EF_cw*ED_con*IRS_cw*(1/1000)))*1,".")</f>
        <v>257.95301385852571</v>
      </c>
      <c r="P13" s="22">
        <f>IFERROR(IF(A13="H-3",(TR/(RadSpec!G13*EF_cw*ED_con*ET_cw_o*(1/24)*IRA_cw*(1/17)*1000))*1,(TR/(RadSpec!G13*EF_cw*ED_con*ET_cw_o*(1/24)*IRA_cw*(1/PEF__sc)*1000))*1),".")</f>
        <v>827.80172756155866</v>
      </c>
      <c r="Q13" s="22">
        <f>IFERROR((TR/(RadSpec!F13*EF_cw*(1/365)*ED_con*def_acf!D13*ET_cw_o*(1/24)*RadSpec!V13))*1,".")</f>
        <v>811.23975052342564</v>
      </c>
      <c r="R13" s="22">
        <f t="shared" ref="R13:R14" si="25">(IF(AND(ISNUMBER(O13),ISNUMBER(P13),ISNUMBER(Q13)),1/((1/O13)+(1/P13)+(1/Q13)),IF(AND(ISNUMBER(O13),ISNUMBER(P13),NOT(ISNUMBER(Q13))), 1/((1/O13)+(1/P13)),IF(AND(ISNUMBER(O13),NOT(ISNUMBER(P13)),ISNUMBER(Q13)),1/((1/O13)+(1/Q13)),IF(AND(NOT(ISNUMBER(O13)),ISNUMBER(P13),ISNUMBER(Q13)),1/((1/P13)+(1/Q13)),IF(AND(ISNUMBER(O13),NOT(ISNUMBER(P13)),NOT(ISNUMBER(Q13))),1/((1/O13)),IF(AND(NOT(ISNUMBER(O13)),NOT(ISNUMBER(P13)),ISNUMBER(Q13)),1/((1/Q13)),IF(AND(NOT(ISNUMBER(O13)),ISNUMBER(P13),NOT(ISNUMBER(Q13))),1/((1/P13)),IF(AND(NOT(ISNUMBER(O13)),NOT(ISNUMBER(P13)),NOT(ISNUMBER(Q13))),".")))))))))</f>
        <v>158.29359621103077</v>
      </c>
      <c r="S13" s="43">
        <f t="shared" si="4"/>
        <v>82.5</v>
      </c>
      <c r="T13" s="43">
        <f t="shared" si="5"/>
        <v>4.2127942114117772E-2</v>
      </c>
      <c r="U13" s="43">
        <f>C_*EF_cw*(1/365)*ED_con*(ET_cw_i+ET_cw_o)*(1/24)*RadSpec!U13*def_acf!D13*1</f>
        <v>2.3830950238309587E-2</v>
      </c>
      <c r="V13" s="11"/>
      <c r="W13" s="11"/>
      <c r="X13" s="11"/>
      <c r="Y13" s="11"/>
      <c r="Z13" s="22">
        <f>IFERROR((TR/(RadSpec!F13*EF_cw*(1/365)*ED_con*def_acf!D13*ET_cw_o*(1/24)*RadSpec!V13))*1,".")</f>
        <v>811.23975052342564</v>
      </c>
      <c r="AA13" s="22">
        <f>IFERROR((TR/(RadSpec!M13*EF_cw*(1/365)*ED_con*def_acf!E13*ET_cw_o*(1/24)*RadSpec!R13))*1,".")</f>
        <v>2357.1747228277782</v>
      </c>
      <c r="AB13" s="22">
        <f>IFERROR((TR/(RadSpec!N13*EF_cw*(1/365)*ED_con*def_acf!F13*ET_cw_o*(1/24)*RadSpec!X13))*1,".")</f>
        <v>1009.2207792006988</v>
      </c>
      <c r="AC13" s="22">
        <f>IFERROR((TR/(RadSpec!O13*EF_cw*(1/365)*ED_con*def_acf!G13*ET_cw_o*(1/24)*RadSpec!Y13))*1,".")</f>
        <v>802.027743045389</v>
      </c>
      <c r="AD13" s="22">
        <f>IFERROR((TR/(RadSpec!K13*EF_cw*(1/365)*ED_con*def_acf!C13*ET_cw_o*(1/24)*RadSpec!U13))*1,".")</f>
        <v>2310.2532799087667</v>
      </c>
      <c r="AE13" s="43">
        <f>C_*EF_cw*(1/365)*ED_con*(ET_cw_i+ET_cw_o)*(1/24)*RadSpec!U13*def_acf!D13*1</f>
        <v>2.3830950238309587E-2</v>
      </c>
      <c r="AF13" s="43">
        <f>C_*EF_cw*(1/365)*ED_con*(ET_cw_i+ET_cw_o)*(1/24)*RadSpec!V13*def_acf!E13*1</f>
        <v>2.445027364875799E-2</v>
      </c>
      <c r="AG13" s="43">
        <f>C_*EF_cw*(1/365)*ED_con*(ET_cw_i+ET_cw_o)*(1/24)*RadSpec!W13*def_acf!F13*1</f>
        <v>2.3999150472549542E-2</v>
      </c>
      <c r="AH13" s="43">
        <f>C_*EF_cw*(1/365)*ED_con*(ET_cw_i+ET_cw_o)*(1/24)*RadSpec!X13*def_acf!G13*1</f>
        <v>2.4213988292800682E-2</v>
      </c>
      <c r="AI13" s="43">
        <f>C_*EF_cw*(1/365)*ED_con*(ET_cw_i+ET_cw_o)*(1/24)*RadSpec!T13*def_acf!C13*1</f>
        <v>2.0595019535847098E-2</v>
      </c>
      <c r="AJ13" s="11"/>
      <c r="AK13" s="11"/>
      <c r="AL13" s="11"/>
      <c r="AM13" s="11"/>
      <c r="AN13" s="11"/>
      <c r="AO13" s="22">
        <f>IFERROR(TR/(RadSpec!G13*EF_cw*ED_con*ET_cw_o*(1/24)*IRA_cw),".")</f>
        <v>6.9747166521360064E-3</v>
      </c>
      <c r="AP13" s="22">
        <f>IFERROR(TR/(RadSpec!J13*EF_cw*(1/365)*ED_con*ET_cw_o*(1/24)*GSF_a),".")</f>
        <v>57095.65371897108</v>
      </c>
      <c r="AQ13" s="22">
        <f t="shared" ref="AQ13:AQ14" si="26">IFERROR(IF(AND(ISNUMBER(AO13),ISNUMBER(AP13)),1/((1/AO13)+(1/AP13)),IF(AND(ISNUMBER(AO13),NOT(ISNUMBER(AP13))),1/((1/AO13)),IF(AND(NOT(ISNUMBER(AO13)),ISNUMBER(AP13)),1/((1/AP13)),IF(AND(NOT(ISNUMBER(AO13)),NOT(ISNUMBER(AP13))),".")))),".")</f>
        <v>6.9747158001155244E-3</v>
      </c>
      <c r="AR13" s="43">
        <f t="shared" si="7"/>
        <v>5000</v>
      </c>
      <c r="AS13" s="43">
        <f t="shared" si="8"/>
        <v>0.22831050228310501</v>
      </c>
      <c r="AT13" s="10"/>
      <c r="AU13" s="10"/>
      <c r="AV13" s="10"/>
    </row>
    <row r="14" spans="1:48" x14ac:dyDescent="0.25">
      <c r="A14" s="23" t="s">
        <v>24</v>
      </c>
      <c r="B14" s="24" t="s">
        <v>289</v>
      </c>
      <c r="C14" s="2"/>
      <c r="D14" s="22">
        <f>IFERROR((TR/(RadSpec!I14*EF_cw*ED_con*IRS_cw*(1/1000)))*1,".")</f>
        <v>4693.4144355347798</v>
      </c>
      <c r="E14" s="22">
        <f>IFERROR(IF(A14="H-3",(TR/(RadSpec!G14*EF_cw*ED_con*ET_cw_o*(1/24)*IRA_cw*(1/17)*1000))*1,(TR/(RadSpec!G14*EF_cw*ED_con*ET_cw_o*(1/24)*IRA_cw*(1/PEFsc)*1000))*1),".")</f>
        <v>10158.097085315629</v>
      </c>
      <c r="F14" s="22">
        <f>IFERROR((TR/(RadSpec!F14*EF_cw*(1/365)*ED_con*def_acf!D14*ET_cw_o*(1/24)*RadSpec!V14))*1,".")</f>
        <v>67.344359831758794</v>
      </c>
      <c r="G14" s="22">
        <f t="shared" si="24"/>
        <v>65.96061716641303</v>
      </c>
      <c r="H14" s="43">
        <f t="shared" si="1"/>
        <v>82.5</v>
      </c>
      <c r="I14" s="43">
        <f t="shared" si="2"/>
        <v>6.4422246467249371</v>
      </c>
      <c r="J14" s="43">
        <f>C_*EF_cw*(1/365)*ED_con*(ET_cw_i+ET_cw_o)*(1/24)*RadSpec!U14*def_acf!D14*1</f>
        <v>1.8484369511766779E-2</v>
      </c>
      <c r="K14" s="4"/>
      <c r="L14" s="4"/>
      <c r="M14" s="4"/>
      <c r="N14" s="4"/>
      <c r="O14" s="22">
        <f>IFERROR((TR/(RadSpec!I14*EF_cw*ED_con*IRS_cw*(1/1000)))*1,".")</f>
        <v>4693.4144355347798</v>
      </c>
      <c r="P14" s="22">
        <f>IFERROR(IF(A14="H-3",(TR/(RadSpec!G14*EF_cw*ED_con*ET_cw_o*(1/24)*IRA_cw*(1/17)*1000))*1,(TR/(RadSpec!G14*EF_cw*ED_con*ET_cw_o*(1/24)*IRA_cw*(1/PEF__sc)*1000))*1),".")</f>
        <v>1553380.9657632154</v>
      </c>
      <c r="Q14" s="22">
        <f>IFERROR((TR/(RadSpec!F14*EF_cw*(1/365)*ED_con*def_acf!D14*ET_cw_o*(1/24)*RadSpec!V14))*1,".")</f>
        <v>67.344359831758794</v>
      </c>
      <c r="R14" s="22">
        <f t="shared" si="25"/>
        <v>66.388887918610052</v>
      </c>
      <c r="S14" s="43">
        <f t="shared" si="4"/>
        <v>82.5</v>
      </c>
      <c r="T14" s="43">
        <f t="shared" si="5"/>
        <v>4.2127942114117772E-2</v>
      </c>
      <c r="U14" s="43">
        <f>C_*EF_cw*(1/365)*ED_con*(ET_cw_i+ET_cw_o)*(1/24)*RadSpec!U14*def_acf!D14*1</f>
        <v>1.8484369511766779E-2</v>
      </c>
      <c r="V14" s="11"/>
      <c r="W14" s="11"/>
      <c r="X14" s="11"/>
      <c r="Y14" s="11"/>
      <c r="Z14" s="22">
        <f>IFERROR((TR/(RadSpec!F14*EF_cw*(1/365)*ED_con*def_acf!D14*ET_cw_o*(1/24)*RadSpec!V14))*1,".")</f>
        <v>67.344359831758794</v>
      </c>
      <c r="AA14" s="22">
        <f>IFERROR((TR/(RadSpec!M14*EF_cw*(1/365)*ED_con*def_acf!E14*ET_cw_o*(1/24)*RadSpec!R14))*1,".")</f>
        <v>372.83078419952261</v>
      </c>
      <c r="AB14" s="22">
        <f>IFERROR((TR/(RadSpec!N14*EF_cw*(1/365)*ED_con*def_acf!F14*ET_cw_o*(1/24)*RadSpec!X14))*1,".")</f>
        <v>108.80402836806047</v>
      </c>
      <c r="AC14" s="22">
        <f>IFERROR((TR/(RadSpec!O14*EF_cw*(1/365)*ED_con*def_acf!G14*ET_cw_o*(1/24)*RadSpec!Y14))*1,".")</f>
        <v>67.064572791186464</v>
      </c>
      <c r="AD14" s="22">
        <f>IFERROR((TR/(RadSpec!K14*EF_cw*(1/365)*ED_con*def_acf!C14*ET_cw_o*(1/24)*RadSpec!U14))*1,".")</f>
        <v>406.75018242093785</v>
      </c>
      <c r="AE14" s="43">
        <f>C_*EF_cw*(1/365)*ED_con*(ET_cw_i+ET_cw_o)*(1/24)*RadSpec!U14*def_acf!D14*1</f>
        <v>1.8484369511766779E-2</v>
      </c>
      <c r="AF14" s="43">
        <f>C_*EF_cw*(1/365)*ED_con*(ET_cw_i+ET_cw_o)*(1/24)*RadSpec!V14*def_acf!E14*1</f>
        <v>1.4075453296094336E-2</v>
      </c>
      <c r="AG14" s="43">
        <f>C_*EF_cw*(1/365)*ED_con*(ET_cw_i+ET_cw_o)*(1/24)*RadSpec!W14*def_acf!F14*1</f>
        <v>1.7569982132221551E-2</v>
      </c>
      <c r="AH14" s="43">
        <f>C_*EF_cw*(1/365)*ED_con*(ET_cw_i+ET_cw_o)*(1/24)*RadSpec!X14*def_acf!G14*1</f>
        <v>1.9616438356164383E-2</v>
      </c>
      <c r="AI14" s="43">
        <f>C_*EF_cw*(1/365)*ED_con*(ET_cw_i+ET_cw_o)*(1/24)*RadSpec!T14*def_acf!C14*1</f>
        <v>1.3077980227867192E-2</v>
      </c>
      <c r="AJ14" s="11"/>
      <c r="AK14" s="11"/>
      <c r="AL14" s="11"/>
      <c r="AM14" s="11"/>
      <c r="AN14" s="11"/>
      <c r="AO14" s="22">
        <f>IFERROR(TR/(RadSpec!G14*EF_cw*ED_con*ET_cw_o*(1/24)*IRA_cw),".")</f>
        <v>13.08814868136902</v>
      </c>
      <c r="AP14" s="22">
        <f>IFERROR(TR/(RadSpec!J14*EF_cw*(1/365)*ED_con*ET_cw_o*(1/24)*GSF_a),".")</f>
        <v>5131.5792740580027</v>
      </c>
      <c r="AQ14" s="22">
        <f t="shared" si="26"/>
        <v>13.054852139176909</v>
      </c>
      <c r="AR14" s="43">
        <f t="shared" si="7"/>
        <v>5000</v>
      </c>
      <c r="AS14" s="43">
        <f t="shared" si="8"/>
        <v>0.22831050228310501</v>
      </c>
      <c r="AT14" s="10"/>
      <c r="AU14" s="10"/>
      <c r="AV14" s="10"/>
    </row>
    <row r="15" spans="1:48" x14ac:dyDescent="0.25">
      <c r="A15" s="23" t="s">
        <v>25</v>
      </c>
      <c r="B15" s="24" t="s">
        <v>289</v>
      </c>
      <c r="C15" s="2"/>
      <c r="D15" s="22">
        <f>IFERROR((TR/(RadSpec!I15*EF_cw*ED_con*IRS_cw*(1/1000)))*1,".")</f>
        <v>99272.826545553806</v>
      </c>
      <c r="E15" s="22">
        <f>IFERROR(IF(A15="H-3",(TR/(RadSpec!G15*EF_cw*ED_con*ET_cw_o*(1/24)*IRA_cw*(1/17)*1000))*1,(TR/(RadSpec!G15*EF_cw*ED_con*ET_cw_o*(1/24)*IRA_cw*(1/PEFsc)*1000))*1),".")</f>
        <v>746493.61142977839</v>
      </c>
      <c r="F15" s="22">
        <f>IFERROR((TR/(RadSpec!F15*EF_cw*(1/365)*ED_con*def_acf!D15*ET_cw_o*(1/24)*RadSpec!V15))*1,".")</f>
        <v>9060.8320032280208</v>
      </c>
      <c r="G15" s="22">
        <f t="shared" ref="G15:G17" si="27">(IF(AND(ISNUMBER(D15),ISNUMBER(E15),ISNUMBER(F15)),1/((1/D15)+(1/E15)+(1/F15)),IF(AND(ISNUMBER(D15),ISNUMBER(E15),NOT(ISNUMBER(F15))), 1/((1/D15)+(1/E15)),IF(AND(ISNUMBER(D15),NOT(ISNUMBER(E15)),ISNUMBER(F15)),1/((1/D15)+(1/F15)),IF(AND(NOT(ISNUMBER(D15)),ISNUMBER(E15),ISNUMBER(F15)),1/((1/E15)+(1/F15)),IF(AND(ISNUMBER(D15),NOT(ISNUMBER(E15)),NOT(ISNUMBER(F15))),1/((1/D15)),IF(AND(NOT(ISNUMBER(D15)),NOT(ISNUMBER(E15)),ISNUMBER(F15)),1/((1/F15)),IF(AND(NOT(ISNUMBER(D15)),ISNUMBER(E15),NOT(ISNUMBER(F15))),1/((1/E15)),IF(AND(NOT(ISNUMBER(D15)),NOT(ISNUMBER(E15)),NOT(ISNUMBER(F15))),".")))))))))</f>
        <v>8211.6647229287155</v>
      </c>
      <c r="H15" s="43">
        <f t="shared" si="1"/>
        <v>82.5</v>
      </c>
      <c r="I15" s="43">
        <f t="shared" si="2"/>
        <v>6.4422246467249371</v>
      </c>
      <c r="J15" s="43">
        <f>C_*EF_cw*(1/365)*ED_con*(ET_cw_i+ET_cw_o)*(1/24)*RadSpec!U15*def_acf!D15*1</f>
        <v>0.20547945205479451</v>
      </c>
      <c r="K15" s="4"/>
      <c r="L15" s="4"/>
      <c r="M15" s="4"/>
      <c r="N15" s="4"/>
      <c r="O15" s="22">
        <f>IFERROR((TR/(RadSpec!I15*EF_cw*ED_con*IRS_cw*(1/1000)))*1,".")</f>
        <v>99272.826545553806</v>
      </c>
      <c r="P15" s="22">
        <f>IFERROR(IF(A15="H-3",(TR/(RadSpec!G15*EF_cw*ED_con*ET_cw_o*(1/24)*IRA_cw*(1/17)*1000))*1,(TR/(RadSpec!G15*EF_cw*ED_con*ET_cw_o*(1/24)*IRA_cw*(1/PEF__sc)*1000))*1),".")</f>
        <v>114154152.82210104</v>
      </c>
      <c r="Q15" s="22">
        <f>IFERROR((TR/(RadSpec!F15*EF_cw*(1/365)*ED_con*def_acf!D15*ET_cw_o*(1/24)*RadSpec!V15))*1,".")</f>
        <v>9060.8320032280208</v>
      </c>
      <c r="R15" s="22">
        <f t="shared" ref="R15:R17" si="28">(IF(AND(ISNUMBER(O15),ISNUMBER(P15),ISNUMBER(Q15)),1/((1/O15)+(1/P15)+(1/Q15)),IF(AND(ISNUMBER(O15),ISNUMBER(P15),NOT(ISNUMBER(Q15))), 1/((1/O15)+(1/P15)),IF(AND(ISNUMBER(O15),NOT(ISNUMBER(P15)),ISNUMBER(Q15)),1/((1/O15)+(1/Q15)),IF(AND(NOT(ISNUMBER(O15)),ISNUMBER(P15),ISNUMBER(Q15)),1/((1/P15)+(1/Q15)),IF(AND(ISNUMBER(O15),NOT(ISNUMBER(P15)),NOT(ISNUMBER(Q15))),1/((1/O15)),IF(AND(NOT(ISNUMBER(O15)),NOT(ISNUMBER(P15)),ISNUMBER(Q15)),1/((1/Q15)),IF(AND(NOT(ISNUMBER(O15)),ISNUMBER(P15),NOT(ISNUMBER(Q15))),1/((1/P15)),IF(AND(NOT(ISNUMBER(O15)),NOT(ISNUMBER(P15)),NOT(ISNUMBER(Q15))),".")))))))))</f>
        <v>8302.3964658056248</v>
      </c>
      <c r="S15" s="43">
        <f t="shared" si="4"/>
        <v>82.5</v>
      </c>
      <c r="T15" s="43">
        <f t="shared" si="5"/>
        <v>4.2127942114117772E-2</v>
      </c>
      <c r="U15" s="43">
        <f>C_*EF_cw*(1/365)*ED_con*(ET_cw_i+ET_cw_o)*(1/24)*RadSpec!U15*def_acf!D15*1</f>
        <v>0.20547945205479451</v>
      </c>
      <c r="V15" s="11"/>
      <c r="W15" s="11"/>
      <c r="X15" s="11"/>
      <c r="Y15" s="11"/>
      <c r="Z15" s="22">
        <f>IFERROR((TR/(RadSpec!F15*EF_cw*(1/365)*ED_con*def_acf!D15*ET_cw_o*(1/24)*RadSpec!V15))*1,".")</f>
        <v>9060.8320032280208</v>
      </c>
      <c r="AA15" s="22">
        <f>IFERROR((TR/(RadSpec!M15*EF_cw*(1/365)*ED_con*def_acf!E15*ET_cw_o*(1/24)*RadSpec!R15))*1,".")</f>
        <v>29347.857495316781</v>
      </c>
      <c r="AB15" s="22">
        <f>IFERROR((TR/(RadSpec!N15*EF_cw*(1/365)*ED_con*def_acf!F15*ET_cw_o*(1/24)*RadSpec!X15))*1,".")</f>
        <v>11681.565923444196</v>
      </c>
      <c r="AC15" s="22">
        <f>IFERROR((TR/(RadSpec!O15*EF_cw*(1/365)*ED_con*def_acf!G15*ET_cw_o*(1/24)*RadSpec!Y15))*1,".")</f>
        <v>9200.8448597900388</v>
      </c>
      <c r="AD15" s="22">
        <f>IFERROR((TR/(RadSpec!K15*EF_cw*(1/365)*ED_con*def_acf!C15*ET_cw_o*(1/24)*RadSpec!U15))*1,".")</f>
        <v>8611.5345485224971</v>
      </c>
      <c r="AE15" s="43">
        <f>C_*EF_cw*(1/365)*ED_con*(ET_cw_i+ET_cw_o)*(1/24)*RadSpec!U15*def_acf!D15*1</f>
        <v>0.20547945205479451</v>
      </c>
      <c r="AF15" s="43">
        <f>C_*EF_cw*(1/365)*ED_con*(ET_cw_i+ET_cw_o)*(1/24)*RadSpec!V15*def_acf!E15*1</f>
        <v>0.20547945205479451</v>
      </c>
      <c r="AG15" s="43">
        <f>C_*EF_cw*(1/365)*ED_con*(ET_cw_i+ET_cw_o)*(1/24)*RadSpec!W15*def_acf!F15*1</f>
        <v>0.20547945205479451</v>
      </c>
      <c r="AH15" s="43">
        <f>C_*EF_cw*(1/365)*ED_con*(ET_cw_i+ET_cw_o)*(1/24)*RadSpec!X15*def_acf!G15*1</f>
        <v>0.20547945205479451</v>
      </c>
      <c r="AI15" s="43">
        <f>C_*EF_cw*(1/365)*ED_con*(ET_cw_i+ET_cw_o)*(1/24)*RadSpec!T15*def_acf!C15*1</f>
        <v>0.18493150684931506</v>
      </c>
      <c r="AJ15" s="11"/>
      <c r="AK15" s="11"/>
      <c r="AL15" s="11"/>
      <c r="AM15" s="11"/>
      <c r="AN15" s="11"/>
      <c r="AO15" s="22">
        <f>IFERROR(TR/(RadSpec!G15*EF_cw*ED_con*ET_cw_o*(1/24)*IRA_cw),".")</f>
        <v>961.81590843512549</v>
      </c>
      <c r="AP15" s="22">
        <f>IFERROR(TR/(RadSpec!J15*EF_cw*(1/365)*ED_con*ET_cw_o*(1/24)*GSF_a),".")</f>
        <v>2569304.4173536985</v>
      </c>
      <c r="AQ15" s="22">
        <f t="shared" ref="AQ15:AQ17" si="29">IFERROR(IF(AND(ISNUMBER(AO15),ISNUMBER(AP15)),1/((1/AO15)+(1/AP15)),IF(AND(ISNUMBER(AO15),NOT(ISNUMBER(AP15))),1/((1/AO15)),IF(AND(NOT(ISNUMBER(AO15)),ISNUMBER(AP15)),1/((1/AP15)),IF(AND(NOT(ISNUMBER(AO15)),NOT(ISNUMBER(AP15))),".")))),".")</f>
        <v>961.45598858334233</v>
      </c>
      <c r="AR15" s="43">
        <f t="shared" si="7"/>
        <v>5000</v>
      </c>
      <c r="AS15" s="43">
        <f t="shared" si="8"/>
        <v>0.22831050228310501</v>
      </c>
      <c r="AT15" s="10"/>
      <c r="AU15" s="10"/>
      <c r="AV15" s="10"/>
    </row>
    <row r="16" spans="1:48" x14ac:dyDescent="0.25">
      <c r="A16" s="23" t="s">
        <v>26</v>
      </c>
      <c r="B16" s="24" t="s">
        <v>289</v>
      </c>
      <c r="C16" s="109"/>
      <c r="D16" s="22">
        <f>IFERROR((TR/(RadSpec!I16*EF_cw*ED_con*IRS_cw*(1/1000)))*1,".")</f>
        <v>20.222242444464666</v>
      </c>
      <c r="E16" s="22">
        <f>IFERROR(IF(A16="H-3",(TR/(RadSpec!G16*EF_cw*ED_con*ET_cw_o*(1/24)*IRA_cw*(1/17)*1000))*1,(TR/(RadSpec!G16*EF_cw*ED_con*ET_cw_o*(1/24)*IRA_cw*(1/PEFsc)*1000))*1),".")</f>
        <v>9.7792403175649323</v>
      </c>
      <c r="F16" s="22">
        <f>IFERROR((TR/(RadSpec!F16*EF_cw*(1/365)*ED_con*def_acf!D16*ET_cw_o*(1/24)*RadSpec!V16))*1,".")</f>
        <v>22453.378967774097</v>
      </c>
      <c r="G16" s="22">
        <f t="shared" si="27"/>
        <v>6.5896786364943001</v>
      </c>
      <c r="H16" s="43">
        <f t="shared" si="1"/>
        <v>82.5</v>
      </c>
      <c r="I16" s="43">
        <f t="shared" si="2"/>
        <v>6.4422246467249371</v>
      </c>
      <c r="J16" s="43">
        <f>C_*EF_cw*(1/365)*ED_con*(ET_cw_i+ET_cw_o)*(1/24)*RadSpec!U16*def_acf!D16*1</f>
        <v>3.0033702978908446E-2</v>
      </c>
      <c r="K16" s="4"/>
      <c r="L16" s="4"/>
      <c r="M16" s="4"/>
      <c r="N16" s="4"/>
      <c r="O16" s="22">
        <f>IFERROR((TR/(RadSpec!I16*EF_cw*ED_con*IRS_cw*(1/1000)))*1,".")</f>
        <v>20.222242444464666</v>
      </c>
      <c r="P16" s="22">
        <f>IFERROR(IF(A16="H-3",(TR/(RadSpec!G16*EF_cw*ED_con*ET_cw_o*(1/24)*IRA_cw*(1/17)*1000))*1,(TR/(RadSpec!G16*EF_cw*ED_con*ET_cw_o*(1/24)*IRA_cw*(1/PEF__sc)*1000))*1),".")</f>
        <v>1495.4460113291564</v>
      </c>
      <c r="Q16" s="22">
        <f>IFERROR((TR/(RadSpec!F16*EF_cw*(1/365)*ED_con*def_acf!D16*ET_cw_o*(1/24)*RadSpec!V16))*1,".")</f>
        <v>22453.378967774097</v>
      </c>
      <c r="R16" s="22">
        <f t="shared" si="28"/>
        <v>19.934720348678365</v>
      </c>
      <c r="S16" s="43">
        <f t="shared" si="4"/>
        <v>82.5</v>
      </c>
      <c r="T16" s="43">
        <f t="shared" si="5"/>
        <v>4.2127942114117772E-2</v>
      </c>
      <c r="U16" s="43">
        <f>C_*EF_cw*(1/365)*ED_con*(ET_cw_i+ET_cw_o)*(1/24)*RadSpec!U16*def_acf!D16*1</f>
        <v>3.0033702978908446E-2</v>
      </c>
      <c r="V16" s="11"/>
      <c r="W16" s="11"/>
      <c r="X16" s="11"/>
      <c r="Y16" s="11"/>
      <c r="Z16" s="22">
        <f>IFERROR((TR/(RadSpec!F16*EF_cw*(1/365)*ED_con*def_acf!D16*ET_cw_o*(1/24)*RadSpec!V16))*1,".")</f>
        <v>22453.378967774097</v>
      </c>
      <c r="AA16" s="22">
        <f>IFERROR((TR/(RadSpec!M16*EF_cw*(1/365)*ED_con*def_acf!E16*ET_cw_o*(1/24)*RadSpec!R16))*1,".")</f>
        <v>30546.11950004657</v>
      </c>
      <c r="AB16" s="22">
        <f>IFERROR((TR/(RadSpec!N16*EF_cw*(1/365)*ED_con*def_acf!F16*ET_cw_o*(1/24)*RadSpec!X16))*1,".")</f>
        <v>21667.575968753372</v>
      </c>
      <c r="AC16" s="22">
        <f>IFERROR((TR/(RadSpec!O16*EF_cw*(1/365)*ED_con*def_acf!G16*ET_cw_o*(1/24)*RadSpec!Y16))*1,".")</f>
        <v>20318.367045906627</v>
      </c>
      <c r="AD16" s="22">
        <f>IFERROR((TR/(RadSpec!K16*EF_cw*(1/365)*ED_con*def_acf!C16*ET_cw_o*(1/24)*RadSpec!U16))*1,".")</f>
        <v>20175.686643105069</v>
      </c>
      <c r="AE16" s="43">
        <f>C_*EF_cw*(1/365)*ED_con*(ET_cw_i+ET_cw_o)*(1/24)*RadSpec!U16*def_acf!D16*1</f>
        <v>3.0033702978908446E-2</v>
      </c>
      <c r="AF16" s="43">
        <f>C_*EF_cw*(1/365)*ED_con*(ET_cw_i+ET_cw_o)*(1/24)*RadSpec!V16*def_acf!E16*1</f>
        <v>3.4359600343595885E-2</v>
      </c>
      <c r="AG16" s="43">
        <f>C_*EF_cw*(1/365)*ED_con*(ET_cw_i+ET_cw_o)*(1/24)*RadSpec!W16*def_acf!F16*1</f>
        <v>3.146982599037397E-2</v>
      </c>
      <c r="AH16" s="43">
        <f>C_*EF_cw*(1/365)*ED_con*(ET_cw_i+ET_cw_o)*(1/24)*RadSpec!X16*def_acf!G16*1</f>
        <v>3.3189582276340182E-2</v>
      </c>
      <c r="AI16" s="43">
        <f>C_*EF_cw*(1/365)*ED_con*(ET_cw_i+ET_cw_o)*(1/24)*RadSpec!T16*def_acf!C16*1</f>
        <v>2.8876772410478313E-2</v>
      </c>
      <c r="AJ16" s="11"/>
      <c r="AK16" s="11"/>
      <c r="AL16" s="11"/>
      <c r="AM16" s="11"/>
      <c r="AN16" s="11"/>
      <c r="AO16" s="22">
        <f>IFERROR(TR/(RadSpec!G16*EF_cw*ED_con*ET_cw_o*(1/24)*IRA_cw),".")</f>
        <v>1.2600012600012603E-2</v>
      </c>
      <c r="AP16" s="22">
        <f>IFERROR(TR/(RadSpec!J16*EF_cw*(1/365)*ED_con*ET_cw_o*(1/24)*GSF_a),".")</f>
        <v>1113111.11256273</v>
      </c>
      <c r="AQ16" s="22">
        <f t="shared" si="29"/>
        <v>1.2600012457385049E-2</v>
      </c>
      <c r="AR16" s="43">
        <f t="shared" si="7"/>
        <v>5000</v>
      </c>
      <c r="AS16" s="43">
        <f t="shared" si="8"/>
        <v>0.22831050228310501</v>
      </c>
      <c r="AT16" s="10"/>
      <c r="AU16" s="10"/>
      <c r="AV16" s="10"/>
    </row>
    <row r="17" spans="1:48" x14ac:dyDescent="0.25">
      <c r="A17" s="23" t="s">
        <v>27</v>
      </c>
      <c r="B17" s="24" t="s">
        <v>289</v>
      </c>
      <c r="C17" s="109"/>
      <c r="D17" s="22">
        <f>IFERROR((TR/(RadSpec!I17*EF_cw*ED_con*IRS_cw*(1/1000)))*1,".")</f>
        <v>54966.497919518049</v>
      </c>
      <c r="E17" s="22">
        <f>IFERROR(IF(A17="H-3",(TR/(RadSpec!G17*EF_cw*ED_con*ET_cw_o*(1/24)*IRA_cw*(1/17)*1000))*1,(TR/(RadSpec!G17*EF_cw*ED_con*ET_cw_o*(1/24)*IRA_cw*(1/PEFsc)*1000))*1),".")</f>
        <v>1997.759093445407</v>
      </c>
      <c r="F17" s="22">
        <f>IFERROR((TR/(RadSpec!F17*EF_cw*(1/365)*ED_con*def_acf!D17*ET_cw_o*(1/24)*RadSpec!V17))*1,".")</f>
        <v>54.244954165612263</v>
      </c>
      <c r="G17" s="22">
        <f t="shared" si="27"/>
        <v>52.760291504136056</v>
      </c>
      <c r="H17" s="43">
        <f t="shared" si="1"/>
        <v>82.5</v>
      </c>
      <c r="I17" s="43">
        <f t="shared" si="2"/>
        <v>6.4422246467249371</v>
      </c>
      <c r="J17" s="43">
        <f>C_*EF_cw*(1/365)*ED_con*(ET_cw_i+ET_cw_o)*(1/24)*RadSpec!U17*def_acf!D17*1</f>
        <v>1.8552626530064086E-2</v>
      </c>
      <c r="K17" s="4"/>
      <c r="L17" s="4"/>
      <c r="M17" s="4"/>
      <c r="N17" s="4"/>
      <c r="O17" s="22">
        <f>IFERROR((TR/(RadSpec!I17*EF_cw*ED_con*IRS_cw*(1/1000)))*1,".")</f>
        <v>54966.497919518049</v>
      </c>
      <c r="P17" s="22">
        <f>IFERROR(IF(A17="H-3",(TR/(RadSpec!G17*EF_cw*ED_con*ET_cw_o*(1/24)*IRA_cw*(1/17)*1000))*1,(TR/(RadSpec!G17*EF_cw*ED_con*ET_cw_o*(1/24)*IRA_cw*(1/PEF__sc)*1000))*1),".")</f>
        <v>305498.25660009898</v>
      </c>
      <c r="Q17" s="22">
        <f>IFERROR((TR/(RadSpec!F17*EF_cw*(1/365)*ED_con*def_acf!D17*ET_cw_o*(1/24)*RadSpec!V17))*1,".")</f>
        <v>54.244954165612263</v>
      </c>
      <c r="R17" s="22">
        <f t="shared" si="28"/>
        <v>54.181862893751614</v>
      </c>
      <c r="S17" s="43">
        <f t="shared" si="4"/>
        <v>82.5</v>
      </c>
      <c r="T17" s="43">
        <f t="shared" si="5"/>
        <v>4.2127942114117772E-2</v>
      </c>
      <c r="U17" s="43">
        <f>C_*EF_cw*(1/365)*ED_con*(ET_cw_i+ET_cw_o)*(1/24)*RadSpec!U17*def_acf!D17*1</f>
        <v>1.8552626530064086E-2</v>
      </c>
      <c r="V17" s="11"/>
      <c r="W17" s="11"/>
      <c r="X17" s="11"/>
      <c r="Y17" s="11"/>
      <c r="Z17" s="22">
        <f>IFERROR((TR/(RadSpec!F17*EF_cw*(1/365)*ED_con*def_acf!D17*ET_cw_o*(1/24)*RadSpec!V17))*1,".")</f>
        <v>54.244954165612263</v>
      </c>
      <c r="AA17" s="22">
        <f>IFERROR((TR/(RadSpec!M17*EF_cw*(1/365)*ED_con*def_acf!E17*ET_cw_o*(1/24)*RadSpec!R17))*1,".")</f>
        <v>382.186223655758</v>
      </c>
      <c r="AB17" s="22">
        <f>IFERROR((TR/(RadSpec!N17*EF_cw*(1/365)*ED_con*def_acf!F17*ET_cw_o*(1/24)*RadSpec!X17))*1,".")</f>
        <v>95.751493553783206</v>
      </c>
      <c r="AC17" s="22">
        <f>IFERROR((TR/(RadSpec!O17*EF_cw*(1/365)*ED_con*def_acf!G17*ET_cw_o*(1/24)*RadSpec!Y17))*1,".")</f>
        <v>56.012791843840176</v>
      </c>
      <c r="AD17" s="22">
        <f>IFERROR((TR/(RadSpec!K17*EF_cw*(1/365)*ED_con*def_acf!C17*ET_cw_o*(1/24)*RadSpec!U17))*1,".")</f>
        <v>478.8860589413174</v>
      </c>
      <c r="AE17" s="43">
        <f>C_*EF_cw*(1/365)*ED_con*(ET_cw_i+ET_cw_o)*(1/24)*RadSpec!U17*def_acf!D17*1</f>
        <v>1.8552626530064086E-2</v>
      </c>
      <c r="AF17" s="43">
        <f>C_*EF_cw*(1/365)*ED_con*(ET_cw_i+ET_cw_o)*(1/24)*RadSpec!V17*def_acf!E17*1</f>
        <v>1.157481151109694E-2</v>
      </c>
      <c r="AG17" s="43">
        <f>C_*EF_cw*(1/365)*ED_con*(ET_cw_i+ET_cw_o)*(1/24)*RadSpec!W17*def_acf!F17*1</f>
        <v>1.658818493150685E-2</v>
      </c>
      <c r="AH17" s="43">
        <f>C_*EF_cw*(1/365)*ED_con*(ET_cw_i+ET_cw_o)*(1/24)*RadSpec!X17*def_acf!G17*1</f>
        <v>1.9184424150177577E-2</v>
      </c>
      <c r="AI17" s="43">
        <f>C_*EF_cw*(1/365)*ED_con*(ET_cw_i+ET_cw_o)*(1/24)*RadSpec!T17*def_acf!C17*1</f>
        <v>9.3632958801498165E-3</v>
      </c>
      <c r="AJ17" s="11"/>
      <c r="AK17" s="11"/>
      <c r="AL17" s="11"/>
      <c r="AM17" s="11"/>
      <c r="AN17" s="11"/>
      <c r="AO17" s="22">
        <f>IFERROR(TR/(RadSpec!G17*EF_cw*ED_con*ET_cw_o*(1/24)*IRA_cw),".")</f>
        <v>2.5740025740025736</v>
      </c>
      <c r="AP17" s="22">
        <f>IFERROR(TR/(RadSpec!J17*EF_cw*(1/365)*ED_con*ET_cw_o*(1/24)*GSF_a),".")</f>
        <v>4296.8894035926687</v>
      </c>
      <c r="AQ17" s="22">
        <f t="shared" si="29"/>
        <v>2.5724615702481355</v>
      </c>
      <c r="AR17" s="43">
        <f t="shared" si="7"/>
        <v>5000</v>
      </c>
      <c r="AS17" s="43">
        <f t="shared" si="8"/>
        <v>0.22831050228310501</v>
      </c>
      <c r="AT17" s="10"/>
      <c r="AU17" s="10"/>
      <c r="AV17" s="10"/>
    </row>
    <row r="18" spans="1:48" x14ac:dyDescent="0.25">
      <c r="A18" s="23" t="s">
        <v>28</v>
      </c>
      <c r="B18" s="24" t="s">
        <v>289</v>
      </c>
      <c r="C18" s="109"/>
      <c r="D18" s="22">
        <f>IFERROR((TR/(RadSpec!I18*EF_cw*ED_con*IRS_cw*(1/1000)))*1,".")</f>
        <v>8.4433074123795766</v>
      </c>
      <c r="E18" s="22">
        <f>IFERROR(IF(A18="H-3",(TR/(RadSpec!G18*EF_cw*ED_con*ET_cw_o*(1/24)*IRA_cw*(1/17)*1000))*1,(TR/(RadSpec!G18*EF_cw*ED_con*ET_cw_o*(1/24)*IRA_cw*(1/PEFsc)*1000))*1),".")</f>
        <v>10.702280857743254</v>
      </c>
      <c r="F18" s="22">
        <f>IFERROR((TR/(RadSpec!F18*EF_cw*(1/365)*ED_con*def_acf!D18*ET_cw_o*(1/24)*RadSpec!V18))*1,".")</f>
        <v>1033258.7518648753</v>
      </c>
      <c r="G18" s="22">
        <f t="shared" ref="G18:G21" si="30">(IF(AND(ISNUMBER(D18),ISNUMBER(E18),ISNUMBER(F18)),1/((1/D18)+(1/E18)+(1/F18)),IF(AND(ISNUMBER(D18),ISNUMBER(E18),NOT(ISNUMBER(F18))), 1/((1/D18)+(1/E18)),IF(AND(ISNUMBER(D18),NOT(ISNUMBER(E18)),ISNUMBER(F18)),1/((1/D18)+(1/F18)),IF(AND(NOT(ISNUMBER(D18)),ISNUMBER(E18),ISNUMBER(F18)),1/((1/E18)+(1/F18)),IF(AND(ISNUMBER(D18),NOT(ISNUMBER(E18)),NOT(ISNUMBER(F18))),1/((1/D18)),IF(AND(NOT(ISNUMBER(D18)),NOT(ISNUMBER(E18)),ISNUMBER(F18)),1/((1/F18)),IF(AND(NOT(ISNUMBER(D18)),ISNUMBER(E18),NOT(ISNUMBER(F18))),1/((1/E18)),IF(AND(NOT(ISNUMBER(D18)),NOT(ISNUMBER(E18)),NOT(ISNUMBER(F18))),".")))))))))</f>
        <v>4.7197418674302423</v>
      </c>
      <c r="H18" s="43">
        <f t="shared" si="1"/>
        <v>82.5</v>
      </c>
      <c r="I18" s="43">
        <f t="shared" si="2"/>
        <v>6.4422246467249371</v>
      </c>
      <c r="J18" s="43">
        <f>C_*EF_cw*(1/365)*ED_con*(ET_cw_i+ET_cw_o)*(1/24)*RadSpec!U18*def_acf!D18*1</f>
        <v>2.1473256492265617E-2</v>
      </c>
      <c r="K18" s="4"/>
      <c r="L18" s="4"/>
      <c r="M18" s="4"/>
      <c r="N18" s="4"/>
      <c r="O18" s="22">
        <f>IFERROR((TR/(RadSpec!I18*EF_cw*ED_con*IRS_cw*(1/1000)))*1,".")</f>
        <v>8.4433074123795766</v>
      </c>
      <c r="P18" s="22">
        <f>IFERROR(IF(A18="H-3",(TR/(RadSpec!G18*EF_cw*ED_con*ET_cw_o*(1/24)*IRA_cw*(1/17)*1000))*1,(TR/(RadSpec!G18*EF_cw*ED_con*ET_cw_o*(1/24)*IRA_cw*(1/PEF__sc)*1000))*1),".")</f>
        <v>1636.5978032148166</v>
      </c>
      <c r="Q18" s="22">
        <f>IFERROR((TR/(RadSpec!F18*EF_cw*(1/365)*ED_con*def_acf!D18*ET_cw_o*(1/24)*RadSpec!V18))*1,".")</f>
        <v>1033258.7518648753</v>
      </c>
      <c r="R18" s="22">
        <f t="shared" ref="R18:R21" si="31">(IF(AND(ISNUMBER(O18),ISNUMBER(P18),ISNUMBER(Q18)),1/((1/O18)+(1/P18)+(1/Q18)),IF(AND(ISNUMBER(O18),ISNUMBER(P18),NOT(ISNUMBER(Q18))), 1/((1/O18)+(1/P18)),IF(AND(ISNUMBER(O18),NOT(ISNUMBER(P18)),ISNUMBER(Q18)),1/((1/O18)+(1/Q18)),IF(AND(NOT(ISNUMBER(O18)),ISNUMBER(P18),ISNUMBER(Q18)),1/((1/P18)+(1/Q18)),IF(AND(ISNUMBER(O18),NOT(ISNUMBER(P18)),NOT(ISNUMBER(Q18))),1/((1/O18)),IF(AND(NOT(ISNUMBER(O18)),NOT(ISNUMBER(P18)),ISNUMBER(Q18)),1/((1/Q18)),IF(AND(NOT(ISNUMBER(O18)),ISNUMBER(P18),NOT(ISNUMBER(Q18))),1/((1/P18)),IF(AND(NOT(ISNUMBER(O18)),NOT(ISNUMBER(P18)),NOT(ISNUMBER(Q18))),".")))))))))</f>
        <v>8.3999031619904603</v>
      </c>
      <c r="S18" s="43">
        <f t="shared" si="4"/>
        <v>82.5</v>
      </c>
      <c r="T18" s="43">
        <f t="shared" si="5"/>
        <v>4.2127942114117772E-2</v>
      </c>
      <c r="U18" s="43">
        <f>C_*EF_cw*(1/365)*ED_con*(ET_cw_i+ET_cw_o)*(1/24)*RadSpec!U18*def_acf!D18*1</f>
        <v>2.1473256492265617E-2</v>
      </c>
      <c r="V18" s="11"/>
      <c r="W18" s="11"/>
      <c r="X18" s="11"/>
      <c r="Y18" s="11"/>
      <c r="Z18" s="22">
        <f>IFERROR((TR/(RadSpec!F18*EF_cw*(1/365)*ED_con*def_acf!D18*ET_cw_o*(1/24)*RadSpec!V18))*1,".")</f>
        <v>1033258.7518648753</v>
      </c>
      <c r="AA18" s="22">
        <f>IFERROR((TR/(RadSpec!M18*EF_cw*(1/365)*ED_con*def_acf!E18*ET_cw_o*(1/24)*RadSpec!R18))*1,".")</f>
        <v>10822557.207707774</v>
      </c>
      <c r="AB18" s="22">
        <f>IFERROR((TR/(RadSpec!N18*EF_cw*(1/365)*ED_con*def_acf!F18*ET_cw_o*(1/24)*RadSpec!X18))*1,".")</f>
        <v>2546908.3221597336</v>
      </c>
      <c r="AC18" s="22">
        <f>IFERROR((TR/(RadSpec!O18*EF_cw*(1/365)*ED_con*def_acf!G18*ET_cw_o*(1/24)*RadSpec!Y18))*1,".")</f>
        <v>1266767.6633191966</v>
      </c>
      <c r="AD18" s="22">
        <f>IFERROR((TR/(RadSpec!K18*EF_cw*(1/365)*ED_con*def_acf!C18*ET_cw_o*(1/24)*RadSpec!U18))*1,".")</f>
        <v>16831369.280441687</v>
      </c>
      <c r="AE18" s="43">
        <f>C_*EF_cw*(1/365)*ED_con*(ET_cw_i+ET_cw_o)*(1/24)*RadSpec!U18*def_acf!D18*1</f>
        <v>2.1473256492265617E-2</v>
      </c>
      <c r="AF18" s="43">
        <f>C_*EF_cw*(1/365)*ED_con*(ET_cw_i+ET_cw_o)*(1/24)*RadSpec!V18*def_acf!E18*1</f>
        <v>1.0325448445429541E-2</v>
      </c>
      <c r="AG18" s="43">
        <f>C_*EF_cw*(1/365)*ED_con*(ET_cw_i+ET_cw_o)*(1/24)*RadSpec!W18*def_acf!F18*1</f>
        <v>1.545333094055952E-2</v>
      </c>
      <c r="AH18" s="43">
        <f>C_*EF_cw*(1/365)*ED_con*(ET_cw_i+ET_cw_o)*(1/24)*RadSpec!X18*def_acf!G18*1</f>
        <v>1.9943328460302855E-2</v>
      </c>
      <c r="AI18" s="43">
        <f>C_*EF_cw*(1/365)*ED_con*(ET_cw_i+ET_cw_o)*(1/24)*RadSpec!T18*def_acf!C18*1</f>
        <v>6.8299667208420317E-3</v>
      </c>
      <c r="AJ18" s="11"/>
      <c r="AK18" s="11"/>
      <c r="AL18" s="11"/>
      <c r="AM18" s="11"/>
      <c r="AN18" s="11"/>
      <c r="AO18" s="22">
        <f>IFERROR(TR/(RadSpec!G18*EF_cw*ED_con*ET_cw_o*(1/24)*IRA_cw),".")</f>
        <v>1.3789299503585218E-2</v>
      </c>
      <c r="AP18" s="22">
        <f>IFERROR(TR/(RadSpec!J18*EF_cw*(1/365)*ED_con*ET_cw_o*(1/24)*GSF_a),".")</f>
        <v>104781688.52894972</v>
      </c>
      <c r="AQ18" s="22">
        <f t="shared" ref="AQ18:AQ21" si="32">IFERROR(IF(AND(ISNUMBER(AO18),ISNUMBER(AP18)),1/((1/AO18)+(1/AP18)),IF(AND(ISNUMBER(AO18),NOT(ISNUMBER(AP18))),1/((1/AO18)),IF(AND(NOT(ISNUMBER(AO18)),ISNUMBER(AP18)),1/((1/AP18)),IF(AND(NOT(ISNUMBER(AO18)),NOT(ISNUMBER(AP18))),".")))),".")</f>
        <v>1.3789299501770543E-2</v>
      </c>
      <c r="AR18" s="43">
        <f t="shared" si="7"/>
        <v>5000</v>
      </c>
      <c r="AS18" s="43">
        <f t="shared" si="8"/>
        <v>0.22831050228310501</v>
      </c>
      <c r="AT18" s="10"/>
      <c r="AU18" s="10"/>
      <c r="AV18" s="10"/>
    </row>
    <row r="19" spans="1:48" x14ac:dyDescent="0.25">
      <c r="A19" s="23" t="s">
        <v>29</v>
      </c>
      <c r="B19" s="24" t="s">
        <v>289</v>
      </c>
      <c r="C19" s="2"/>
      <c r="D19" s="22" t="str">
        <f>IFERROR((TR/(RadSpec!I19*EF_cw*ED_con*IRS_cw*(1/1000)))*1,".")</f>
        <v>.</v>
      </c>
      <c r="E19" s="22" t="str">
        <f>IFERROR(IF(A19="H-3",(TR/(RadSpec!G19*EF_cw*ED_con*ET_cw_o*(1/24)*IRA_cw*(1/17)*1000))*1,(TR/(RadSpec!G19*EF_cw*ED_con*ET_cw_o*(1/24)*IRA_cw*(1/PEFsc)*1000))*1),".")</f>
        <v>.</v>
      </c>
      <c r="F19" s="22">
        <f>IFERROR((TR/(RadSpec!F19*EF_cw*(1/365)*ED_con*def_acf!D19*ET_cw_o*(1/24)*RadSpec!V19))*1,".")</f>
        <v>272117.92349273356</v>
      </c>
      <c r="G19" s="22">
        <f t="shared" si="30"/>
        <v>272117.92349273356</v>
      </c>
      <c r="H19" s="43">
        <f t="shared" si="1"/>
        <v>82.5</v>
      </c>
      <c r="I19" s="43">
        <f t="shared" si="2"/>
        <v>6.4422246467249371</v>
      </c>
      <c r="J19" s="43">
        <f>C_*EF_cw*(1/365)*ED_con*(ET_cw_i+ET_cw_o)*(1/24)*RadSpec!U19*def_acf!D19*1</f>
        <v>2.12654924983692E-2</v>
      </c>
      <c r="K19" s="4"/>
      <c r="L19" s="4"/>
      <c r="M19" s="4"/>
      <c r="N19" s="4"/>
      <c r="O19" s="22" t="str">
        <f>IFERROR((TR/(RadSpec!I19*EF_cw*ED_con*IRS_cw*(1/1000)))*1,".")</f>
        <v>.</v>
      </c>
      <c r="P19" s="22" t="str">
        <f>IFERROR(IF(A19="H-3",(TR/(RadSpec!G19*EF_cw*ED_con*ET_cw_o*(1/24)*IRA_cw*(1/17)*1000))*1,(TR/(RadSpec!G19*EF_cw*ED_con*ET_cw_o*(1/24)*IRA_cw*(1/PEF__sc)*1000))*1),".")</f>
        <v>.</v>
      </c>
      <c r="Q19" s="22">
        <f>IFERROR((TR/(RadSpec!F19*EF_cw*(1/365)*ED_con*def_acf!D19*ET_cw_o*(1/24)*RadSpec!V19))*1,".")</f>
        <v>272117.92349273356</v>
      </c>
      <c r="R19" s="22">
        <f t="shared" si="31"/>
        <v>272117.92349273356</v>
      </c>
      <c r="S19" s="43">
        <f t="shared" si="4"/>
        <v>82.5</v>
      </c>
      <c r="T19" s="43">
        <f t="shared" si="5"/>
        <v>4.2127942114117772E-2</v>
      </c>
      <c r="U19" s="43">
        <f>C_*EF_cw*(1/365)*ED_con*(ET_cw_i+ET_cw_o)*(1/24)*RadSpec!U19*def_acf!D19*1</f>
        <v>2.12654924983692E-2</v>
      </c>
      <c r="V19" s="11"/>
      <c r="W19" s="11"/>
      <c r="X19" s="11"/>
      <c r="Y19" s="11"/>
      <c r="Z19" s="22">
        <f>IFERROR((TR/(RadSpec!F19*EF_cw*(1/365)*ED_con*def_acf!D19*ET_cw_o*(1/24)*RadSpec!V19))*1,".")</f>
        <v>272117.92349273356</v>
      </c>
      <c r="AA19" s="22">
        <f>IFERROR((TR/(RadSpec!M19*EF_cw*(1/365)*ED_con*def_acf!E19*ET_cw_o*(1/24)*RadSpec!R19))*1,".")</f>
        <v>2782325.3891643658</v>
      </c>
      <c r="AB19" s="22">
        <f>IFERROR((TR/(RadSpec!N19*EF_cw*(1/365)*ED_con*def_acf!F19*ET_cw_o*(1/24)*RadSpec!X19))*1,".")</f>
        <v>663747.24841305078</v>
      </c>
      <c r="AC19" s="22">
        <f>IFERROR((TR/(RadSpec!O19*EF_cw*(1/365)*ED_con*def_acf!G19*ET_cw_o*(1/24)*RadSpec!Y19))*1,".")</f>
        <v>329822.78276697535</v>
      </c>
      <c r="AD19" s="22">
        <f>IFERROR((TR/(RadSpec!K19*EF_cw*(1/365)*ED_con*def_acf!C19*ET_cw_o*(1/24)*RadSpec!U19))*1,".")</f>
        <v>4322771.9348733714</v>
      </c>
      <c r="AE19" s="43">
        <f>C_*EF_cw*(1/365)*ED_con*(ET_cw_i+ET_cw_o)*(1/24)*RadSpec!U19*def_acf!D19*1</f>
        <v>2.12654924983692E-2</v>
      </c>
      <c r="AF19" s="43">
        <f>C_*EF_cw*(1/365)*ED_con*(ET_cw_i+ET_cw_o)*(1/24)*RadSpec!V19*def_acf!E19*1</f>
        <v>1.039907424782637E-2</v>
      </c>
      <c r="AG19" s="43">
        <f>C_*EF_cw*(1/365)*ED_con*(ET_cw_i+ET_cw_o)*(1/24)*RadSpec!W19*def_acf!F19*1</f>
        <v>1.5478678120888469E-2</v>
      </c>
      <c r="AH19" s="43">
        <f>C_*EF_cw*(1/365)*ED_con*(ET_cw_i+ET_cw_o)*(1/24)*RadSpec!X19*def_acf!G19*1</f>
        <v>1.9974241892050115E-2</v>
      </c>
      <c r="AI19" s="43">
        <f>C_*EF_cw*(1/365)*ED_con*(ET_cw_i+ET_cw_o)*(1/24)*RadSpec!T19*def_acf!C19*1</f>
        <v>6.8792247412813243E-3</v>
      </c>
      <c r="AJ19" s="11"/>
      <c r="AK19" s="11"/>
      <c r="AL19" s="11"/>
      <c r="AM19" s="11"/>
      <c r="AN19" s="11"/>
      <c r="AO19" s="22" t="str">
        <f>IFERROR(TR/(RadSpec!G19*EF_cw*ED_con*ET_cw_o*(1/24)*IRA_cw),".")</f>
        <v>.</v>
      </c>
      <c r="AP19" s="22">
        <f>IFERROR(TR/(RadSpec!J19*EF_cw*(1/365)*ED_con*ET_cw_o*(1/24)*GSF_a),".")</f>
        <v>27182496.00968406</v>
      </c>
      <c r="AQ19" s="22">
        <f t="shared" si="32"/>
        <v>27182496.00968406</v>
      </c>
      <c r="AR19" s="43">
        <f t="shared" si="7"/>
        <v>5000</v>
      </c>
      <c r="AS19" s="43">
        <f t="shared" si="8"/>
        <v>0.22831050228310501</v>
      </c>
      <c r="AT19" s="10"/>
      <c r="AU19" s="10"/>
      <c r="AV19" s="10"/>
    </row>
    <row r="20" spans="1:48" x14ac:dyDescent="0.25">
      <c r="A20" s="23" t="s">
        <v>30</v>
      </c>
      <c r="B20" s="24" t="s">
        <v>289</v>
      </c>
      <c r="C20" s="109"/>
      <c r="D20" s="22" t="str">
        <f>IFERROR((TR/(RadSpec!I20*EF_cw*ED_con*IRS_cw*(1/1000)))*1,".")</f>
        <v>.</v>
      </c>
      <c r="E20" s="22" t="str">
        <f>IFERROR(IF(A20="H-3",(TR/(RadSpec!G20*EF_cw*ED_con*ET_cw_o*(1/24)*IRA_cw*(1/17)*1000))*1,(TR/(RadSpec!G20*EF_cw*ED_con*ET_cw_o*(1/24)*IRA_cw*(1/PEFsc)*1000))*1),".")</f>
        <v>.</v>
      </c>
      <c r="F20" s="22">
        <f>IFERROR((TR/(RadSpec!F20*EF_cw*(1/365)*ED_con*def_acf!D20*ET_cw_o*(1/24)*RadSpec!V20))*1,".")</f>
        <v>121167.13006514516</v>
      </c>
      <c r="G20" s="22">
        <f t="shared" si="30"/>
        <v>121167.13006514516</v>
      </c>
      <c r="H20" s="43">
        <f t="shared" si="1"/>
        <v>82.5</v>
      </c>
      <c r="I20" s="43">
        <f t="shared" si="2"/>
        <v>6.4422246467249371</v>
      </c>
      <c r="J20" s="43">
        <f>C_*EF_cw*(1/365)*ED_con*(ET_cw_i+ET_cw_o)*(1/24)*RadSpec!U20*def_acf!D20*1</f>
        <v>2.1418820317280977E-2</v>
      </c>
      <c r="K20" s="4"/>
      <c r="L20" s="4"/>
      <c r="M20" s="4"/>
      <c r="N20" s="4"/>
      <c r="O20" s="22" t="str">
        <f>IFERROR((TR/(RadSpec!I20*EF_cw*ED_con*IRS_cw*(1/1000)))*1,".")</f>
        <v>.</v>
      </c>
      <c r="P20" s="22" t="str">
        <f>IFERROR(IF(A20="H-3",(TR/(RadSpec!G20*EF_cw*ED_con*ET_cw_o*(1/24)*IRA_cw*(1/17)*1000))*1,(TR/(RadSpec!G20*EF_cw*ED_con*ET_cw_o*(1/24)*IRA_cw*(1/PEF__sc)*1000))*1),".")</f>
        <v>.</v>
      </c>
      <c r="Q20" s="22">
        <f>IFERROR((TR/(RadSpec!F20*EF_cw*(1/365)*ED_con*def_acf!D20*ET_cw_o*(1/24)*RadSpec!V20))*1,".")</f>
        <v>121167.13006514516</v>
      </c>
      <c r="R20" s="22">
        <f t="shared" si="31"/>
        <v>121167.13006514516</v>
      </c>
      <c r="S20" s="43">
        <f t="shared" si="4"/>
        <v>82.5</v>
      </c>
      <c r="T20" s="43">
        <f t="shared" si="5"/>
        <v>4.2127942114117772E-2</v>
      </c>
      <c r="U20" s="43">
        <f>C_*EF_cw*(1/365)*ED_con*(ET_cw_i+ET_cw_o)*(1/24)*RadSpec!U20*def_acf!D20*1</f>
        <v>2.1418820317280977E-2</v>
      </c>
      <c r="V20" s="11"/>
      <c r="W20" s="11"/>
      <c r="X20" s="11"/>
      <c r="Y20" s="11"/>
      <c r="Z20" s="22">
        <f>IFERROR((TR/(RadSpec!F20*EF_cw*(1/365)*ED_con*def_acf!D20*ET_cw_o*(1/24)*RadSpec!V20))*1,".")</f>
        <v>121167.13006514516</v>
      </c>
      <c r="AA20" s="22">
        <f>IFERROR((TR/(RadSpec!M20*EF_cw*(1/365)*ED_con*def_acf!E20*ET_cw_o*(1/24)*RadSpec!R20))*1,".")</f>
        <v>1271689.6948132718</v>
      </c>
      <c r="AB20" s="22">
        <f>IFERROR((TR/(RadSpec!N20*EF_cw*(1/365)*ED_con*def_acf!F20*ET_cw_o*(1/24)*RadSpec!X20))*1,".")</f>
        <v>300802.52659773012</v>
      </c>
      <c r="AC20" s="22">
        <f>IFERROR((TR/(RadSpec!O20*EF_cw*(1/365)*ED_con*def_acf!G20*ET_cw_o*(1/24)*RadSpec!Y20))*1,".")</f>
        <v>148341.45128369355</v>
      </c>
      <c r="AD20" s="22">
        <f>IFERROR((TR/(RadSpec!K20*EF_cw*(1/365)*ED_con*def_acf!C20*ET_cw_o*(1/24)*RadSpec!U20))*1,".")</f>
        <v>1972539.6173464973</v>
      </c>
      <c r="AE20" s="43">
        <f>C_*EF_cw*(1/365)*ED_con*(ET_cw_i+ET_cw_o)*(1/24)*RadSpec!U20*def_acf!D20*1</f>
        <v>2.1418820317280977E-2</v>
      </c>
      <c r="AF20" s="43">
        <f>C_*EF_cw*(1/365)*ED_con*(ET_cw_i+ET_cw_o)*(1/24)*RadSpec!V20*def_acf!E20*1</f>
        <v>1.0316514932357693E-2</v>
      </c>
      <c r="AG20" s="43">
        <f>C_*EF_cw*(1/365)*ED_con*(ET_cw_i+ET_cw_o)*(1/24)*RadSpec!W20*def_acf!F20*1</f>
        <v>1.5473729694379247E-2</v>
      </c>
      <c r="AH20" s="43">
        <f>C_*EF_cw*(1/365)*ED_con*(ET_cw_i+ET_cw_o)*(1/24)*RadSpec!X20*def_acf!G20*1</f>
        <v>1.9977168949771688E-2</v>
      </c>
      <c r="AI20" s="43">
        <f>C_*EF_cw*(1/365)*ED_con*(ET_cw_i+ET_cw_o)*(1/24)*RadSpec!T20*def_acf!C20*1</f>
        <v>6.8267100682671E-3</v>
      </c>
      <c r="AJ20" s="11"/>
      <c r="AK20" s="11"/>
      <c r="AL20" s="11"/>
      <c r="AM20" s="11"/>
      <c r="AN20" s="11"/>
      <c r="AO20" s="22" t="str">
        <f>IFERROR(TR/(RadSpec!G20*EF_cw*ED_con*ET_cw_o*(1/24)*IRA_cw),".")</f>
        <v>.</v>
      </c>
      <c r="AP20" s="22">
        <f>IFERROR(TR/(RadSpec!J20*EF_cw*(1/365)*ED_con*ET_cw_o*(1/24)*GSF_a),".")</f>
        <v>12258772.710249672</v>
      </c>
      <c r="AQ20" s="22">
        <f t="shared" si="32"/>
        <v>12258772.710249672</v>
      </c>
      <c r="AR20" s="43">
        <f t="shared" si="7"/>
        <v>5000</v>
      </c>
      <c r="AS20" s="43">
        <f t="shared" si="8"/>
        <v>0.22831050228310501</v>
      </c>
      <c r="AT20" s="10"/>
      <c r="AU20" s="10"/>
      <c r="AV20" s="10"/>
    </row>
    <row r="21" spans="1:48" x14ac:dyDescent="0.25">
      <c r="A21" s="23" t="s">
        <v>31</v>
      </c>
      <c r="B21" s="24" t="s">
        <v>289</v>
      </c>
      <c r="C21" s="109"/>
      <c r="D21" s="22" t="str">
        <f>IFERROR((TR/(RadSpec!I21*EF_cw*ED_con*IRS_cw*(1/1000)))*1,".")</f>
        <v>.</v>
      </c>
      <c r="E21" s="22">
        <f>IFERROR(IF(A21="H-3",(TR/(RadSpec!G21*EF_cw*ED_con*ET_cw_o*(1/24)*IRA_cw*(1/17)*1000))*1,(TR/(RadSpec!G21*EF_cw*ED_con*ET_cw_o*(1/24)*IRA_cw*(1/PEFsc)*1000))*1),".")</f>
        <v>11167.329608684038</v>
      </c>
      <c r="F21" s="22">
        <f>IFERROR((TR/(RadSpec!F21*EF_cw*(1/365)*ED_con*def_acf!D21*ET_cw_o*(1/24)*RadSpec!V21))*1,".")</f>
        <v>711259850.08274543</v>
      </c>
      <c r="G21" s="22">
        <f t="shared" si="30"/>
        <v>11167.154275727209</v>
      </c>
      <c r="H21" s="43">
        <f t="shared" si="1"/>
        <v>82.5</v>
      </c>
      <c r="I21" s="43">
        <f t="shared" si="2"/>
        <v>6.4422246467249371</v>
      </c>
      <c r="J21" s="43">
        <f>C_*EF_cw*(1/365)*ED_con*(ET_cw_i+ET_cw_o)*(1/24)*RadSpec!U21*def_acf!D21*1</f>
        <v>0.20547945205479451</v>
      </c>
      <c r="K21" s="4"/>
      <c r="L21" s="4"/>
      <c r="M21" s="4"/>
      <c r="N21" s="4"/>
      <c r="O21" s="22" t="str">
        <f>IFERROR((TR/(RadSpec!I21*EF_cw*ED_con*IRS_cw*(1/1000)))*1,".")</f>
        <v>.</v>
      </c>
      <c r="P21" s="22">
        <f>IFERROR(IF(A21="H-3",(TR/(RadSpec!G21*EF_cw*ED_con*ET_cw_o*(1/24)*IRA_cw*(1/17)*1000))*1,(TR/(RadSpec!G21*EF_cw*ED_con*ET_cw_o*(1/24)*IRA_cw*(1/PEF__sc)*1000))*1),".")</f>
        <v>1707713.2761027117</v>
      </c>
      <c r="Q21" s="22">
        <f>IFERROR((TR/(RadSpec!F21*EF_cw*(1/365)*ED_con*def_acf!D21*ET_cw_o*(1/24)*RadSpec!V21))*1,".")</f>
        <v>711259850.08274543</v>
      </c>
      <c r="R21" s="22">
        <f t="shared" si="31"/>
        <v>1703622.9292436785</v>
      </c>
      <c r="S21" s="43">
        <f t="shared" si="4"/>
        <v>82.5</v>
      </c>
      <c r="T21" s="43">
        <f t="shared" si="5"/>
        <v>4.2127942114117772E-2</v>
      </c>
      <c r="U21" s="43">
        <f>C_*EF_cw*(1/365)*ED_con*(ET_cw_i+ET_cw_o)*(1/24)*RadSpec!U21*def_acf!D21*1</f>
        <v>0.20547945205479451</v>
      </c>
      <c r="V21" s="11"/>
      <c r="W21" s="11"/>
      <c r="X21" s="11"/>
      <c r="Y21" s="11"/>
      <c r="Z21" s="22">
        <f>IFERROR((TR/(RadSpec!F21*EF_cw*(1/365)*ED_con*def_acf!D21*ET_cw_o*(1/24)*RadSpec!V21))*1,".")</f>
        <v>711259850.08274543</v>
      </c>
      <c r="AA21" s="22">
        <f>IFERROR((TR/(RadSpec!M21*EF_cw*(1/365)*ED_con*def_acf!E21*ET_cw_o*(1/24)*RadSpec!R21))*1,".")</f>
        <v>1712681920.3997734</v>
      </c>
      <c r="AB21" s="22">
        <f>IFERROR((TR/(RadSpec!N21*EF_cw*(1/365)*ED_con*def_acf!F21*ET_cw_o*(1/24)*RadSpec!X21))*1,".")</f>
        <v>814059125.29001737</v>
      </c>
      <c r="AC21" s="22">
        <f>IFERROR((TR/(RadSpec!O21*EF_cw*(1/365)*ED_con*def_acf!G21*ET_cw_o*(1/24)*RadSpec!Y21))*1,".")</f>
        <v>713695671.48713851</v>
      </c>
      <c r="AD21" s="22">
        <f>IFERROR((TR/(RadSpec!K21*EF_cw*(1/365)*ED_con*def_acf!C21*ET_cw_o*(1/24)*RadSpec!U21))*1,".")</f>
        <v>918057868.16847777</v>
      </c>
      <c r="AE21" s="43">
        <f>C_*EF_cw*(1/365)*ED_con*(ET_cw_i+ET_cw_o)*(1/24)*RadSpec!U21*def_acf!D21*1</f>
        <v>0.20547945205479451</v>
      </c>
      <c r="AF21" s="43">
        <f>C_*EF_cw*(1/365)*ED_con*(ET_cw_i+ET_cw_o)*(1/24)*RadSpec!V21*def_acf!E21*1</f>
        <v>0.20547945205479451</v>
      </c>
      <c r="AG21" s="43">
        <f>C_*EF_cw*(1/365)*ED_con*(ET_cw_i+ET_cw_o)*(1/24)*RadSpec!W21*def_acf!F21*1</f>
        <v>0.20547945205479451</v>
      </c>
      <c r="AH21" s="43">
        <f>C_*EF_cw*(1/365)*ED_con*(ET_cw_i+ET_cw_o)*(1/24)*RadSpec!X21*def_acf!G21*1</f>
        <v>0.20547945205479451</v>
      </c>
      <c r="AI21" s="43">
        <f>C_*EF_cw*(1/365)*ED_con*(ET_cw_i+ET_cw_o)*(1/24)*RadSpec!T21*def_acf!C21*1</f>
        <v>0.18493150684931506</v>
      </c>
      <c r="AJ21" s="11"/>
      <c r="AK21" s="11"/>
      <c r="AL21" s="11"/>
      <c r="AM21" s="11"/>
      <c r="AN21" s="11"/>
      <c r="AO21" s="22">
        <f>IFERROR(TR/(RadSpec!G21*EF_cw*ED_con*ET_cw_o*(1/24)*IRA_cw),".")</f>
        <v>14.388489208633091</v>
      </c>
      <c r="AP21" s="22">
        <f>IFERROR(TR/(RadSpec!J21*EF_cw*(1/365)*ED_con*ET_cw_o*(1/24)*GSF_a),".")</f>
        <v>110981788441.90532</v>
      </c>
      <c r="AQ21" s="22">
        <f t="shared" si="32"/>
        <v>14.388489206767664</v>
      </c>
      <c r="AR21" s="43">
        <f t="shared" si="7"/>
        <v>5000</v>
      </c>
      <c r="AS21" s="43">
        <f t="shared" si="8"/>
        <v>0.22831050228310501</v>
      </c>
      <c r="AT21" s="10"/>
      <c r="AU21" s="10"/>
      <c r="AV21" s="10"/>
    </row>
    <row r="22" spans="1:48" x14ac:dyDescent="0.25">
      <c r="A22" s="23" t="s">
        <v>32</v>
      </c>
      <c r="B22" s="24" t="s">
        <v>289</v>
      </c>
      <c r="C22" s="2"/>
      <c r="D22" s="22">
        <f>IFERROR((TR/(RadSpec!I22*EF_cw*ED_con*IRS_cw*(1/1000)))*1,".")</f>
        <v>162.98523761210328</v>
      </c>
      <c r="E22" s="22">
        <f>IFERROR(IF(A22="H-3",(TR/(RadSpec!G22*EF_cw*ED_con*ET_cw_o*(1/24)*IRA_cw*(1/17)*1000))*1,(TR/(RadSpec!G22*EF_cw*ED_con*ET_cw_o*(1/24)*IRA_cw*(1/PEFsc)*1000))*1),".")</f>
        <v>5.9339379013229925</v>
      </c>
      <c r="F22" s="22">
        <f>IFERROR((TR/(RadSpec!F22*EF_cw*(1/365)*ED_con*def_acf!D22*ET_cw_o*(1/24)*RadSpec!V22))*1,".")</f>
        <v>7253.7108770662535</v>
      </c>
      <c r="G22" s="22">
        <f t="shared" ref="G22:G23" si="33">(IF(AND(ISNUMBER(D22),ISNUMBER(E22),ISNUMBER(F22)),1/((1/D22)+(1/E22)+(1/F22)),IF(AND(ISNUMBER(D22),ISNUMBER(E22),NOT(ISNUMBER(F22))), 1/((1/D22)+(1/E22)),IF(AND(ISNUMBER(D22),NOT(ISNUMBER(E22)),ISNUMBER(F22)),1/((1/D22)+(1/F22)),IF(AND(NOT(ISNUMBER(D22)),ISNUMBER(E22),ISNUMBER(F22)),1/((1/E22)+(1/F22)),IF(AND(ISNUMBER(D22),NOT(ISNUMBER(E22)),NOT(ISNUMBER(F22))),1/((1/D22)),IF(AND(NOT(ISNUMBER(D22)),NOT(ISNUMBER(E22)),ISNUMBER(F22)),1/((1/F22)),IF(AND(NOT(ISNUMBER(D22)),ISNUMBER(E22),NOT(ISNUMBER(F22))),1/((1/E22)),IF(AND(NOT(ISNUMBER(D22)),NOT(ISNUMBER(E22)),NOT(ISNUMBER(F22))),".")))))))))</f>
        <v>5.7209697682885396</v>
      </c>
      <c r="H22" s="43">
        <f t="shared" si="1"/>
        <v>82.5</v>
      </c>
      <c r="I22" s="43">
        <f t="shared" si="2"/>
        <v>6.4422246467249371</v>
      </c>
      <c r="J22" s="43">
        <f>C_*EF_cw*(1/365)*ED_con*(ET_cw_i+ET_cw_o)*(1/24)*RadSpec!U22*def_acf!D22*1</f>
        <v>2.2575240141718789E-2</v>
      </c>
      <c r="K22" s="4"/>
      <c r="L22" s="4"/>
      <c r="M22" s="4"/>
      <c r="N22" s="4"/>
      <c r="O22" s="22">
        <f>IFERROR((TR/(RadSpec!I22*EF_cw*ED_con*IRS_cw*(1/1000)))*1,".")</f>
        <v>162.98523761210328</v>
      </c>
      <c r="P22" s="22">
        <f>IFERROR(IF(A22="H-3",(TR/(RadSpec!G22*EF_cw*ED_con*ET_cw_o*(1/24)*IRA_cw*(1/17)*1000))*1,(TR/(RadSpec!G22*EF_cw*ED_con*ET_cw_o*(1/24)*IRA_cw*(1/PEF__sc)*1000))*1),".")</f>
        <v>907.42056415871014</v>
      </c>
      <c r="Q22" s="22">
        <f>IFERROR((TR/(RadSpec!F22*EF_cw*(1/365)*ED_con*def_acf!D22*ET_cw_o*(1/24)*RadSpec!V22))*1,".")</f>
        <v>7253.7108770662535</v>
      </c>
      <c r="R22" s="22">
        <f t="shared" ref="R22:R23" si="34">(IF(AND(ISNUMBER(O22),ISNUMBER(P22),ISNUMBER(Q22)),1/((1/O22)+(1/P22)+(1/Q22)),IF(AND(ISNUMBER(O22),ISNUMBER(P22),NOT(ISNUMBER(Q22))), 1/((1/O22)+(1/P22)),IF(AND(ISNUMBER(O22),NOT(ISNUMBER(P22)),ISNUMBER(Q22)),1/((1/O22)+(1/Q22)),IF(AND(NOT(ISNUMBER(O22)),ISNUMBER(P22),ISNUMBER(Q22)),1/((1/P22)+(1/Q22)),IF(AND(ISNUMBER(O22),NOT(ISNUMBER(P22)),NOT(ISNUMBER(Q22))),1/((1/O22)),IF(AND(NOT(ISNUMBER(O22)),NOT(ISNUMBER(P22)),ISNUMBER(Q22)),1/((1/Q22)),IF(AND(NOT(ISNUMBER(O22)),ISNUMBER(P22),NOT(ISNUMBER(Q22))),1/((1/P22)),IF(AND(NOT(ISNUMBER(O22)),NOT(ISNUMBER(P22)),NOT(ISNUMBER(Q22))),".")))))))))</f>
        <v>135.58567701306612</v>
      </c>
      <c r="S22" s="43">
        <f t="shared" si="4"/>
        <v>82.5</v>
      </c>
      <c r="T22" s="43">
        <f t="shared" si="5"/>
        <v>4.2127942114117772E-2</v>
      </c>
      <c r="U22" s="43">
        <f>C_*EF_cw*(1/365)*ED_con*(ET_cw_i+ET_cw_o)*(1/24)*RadSpec!U22*def_acf!D22*1</f>
        <v>2.2575240141718789E-2</v>
      </c>
      <c r="V22" s="11"/>
      <c r="W22" s="11"/>
      <c r="X22" s="11"/>
      <c r="Y22" s="11"/>
      <c r="Z22" s="22">
        <f>IFERROR((TR/(RadSpec!F22*EF_cw*(1/365)*ED_con*def_acf!D22*ET_cw_o*(1/24)*RadSpec!V22))*1,".")</f>
        <v>7253.7108770662535</v>
      </c>
      <c r="AA22" s="22">
        <f>IFERROR((TR/(RadSpec!M22*EF_cw*(1/365)*ED_con*def_acf!E22*ET_cw_o*(1/24)*RadSpec!R22))*1,".")</f>
        <v>10728.198644995111</v>
      </c>
      <c r="AB22" s="22">
        <f>IFERROR((TR/(RadSpec!N22*EF_cw*(1/365)*ED_con*def_acf!F22*ET_cw_o*(1/24)*RadSpec!X22))*1,".")</f>
        <v>7023.9789790205659</v>
      </c>
      <c r="AC22" s="22">
        <f>IFERROR((TR/(RadSpec!O22*EF_cw*(1/365)*ED_con*def_acf!G22*ET_cw_o*(1/24)*RadSpec!Y22))*1,".")</f>
        <v>6028.5711705217054</v>
      </c>
      <c r="AD22" s="22">
        <f>IFERROR((TR/(RadSpec!K22*EF_cw*(1/365)*ED_con*def_acf!C22*ET_cw_o*(1/24)*RadSpec!U22))*1,".")</f>
        <v>6317.1665380160375</v>
      </c>
      <c r="AE22" s="43">
        <f>C_*EF_cw*(1/365)*ED_con*(ET_cw_i+ET_cw_o)*(1/24)*RadSpec!U22*def_acf!D22*1</f>
        <v>2.2575240141718789E-2</v>
      </c>
      <c r="AF22" s="43">
        <f>C_*EF_cw*(1/365)*ED_con*(ET_cw_i+ET_cw_o)*(1/24)*RadSpec!V22*def_acf!E22*1</f>
        <v>2.0963826789563905E-2</v>
      </c>
      <c r="AG22" s="43">
        <f>C_*EF_cw*(1/365)*ED_con*(ET_cw_i+ET_cw_o)*(1/24)*RadSpec!W22*def_acf!F22*1</f>
        <v>2.344810563988653E-2</v>
      </c>
      <c r="AH22" s="43">
        <f>C_*EF_cw*(1/365)*ED_con*(ET_cw_i+ET_cw_o)*(1/24)*RadSpec!X22*def_acf!G22*1</f>
        <v>2.7215067354444976E-2</v>
      </c>
      <c r="AI22" s="43">
        <f>C_*EF_cw*(1/365)*ED_con*(ET_cw_i+ET_cw_o)*(1/24)*RadSpec!T22*def_acf!C22*1</f>
        <v>1.7909196562958446E-2</v>
      </c>
      <c r="AJ22" s="11"/>
      <c r="AK22" s="11"/>
      <c r="AL22" s="11"/>
      <c r="AM22" s="11"/>
      <c r="AN22" s="11"/>
      <c r="AO22" s="22">
        <f>IFERROR(TR/(RadSpec!G22*EF_cw*ED_con*ET_cw_o*(1/24)*IRA_cw),".")</f>
        <v>7.6455522000076458E-3</v>
      </c>
      <c r="AP22" s="22">
        <f>IFERROR(TR/(RadSpec!J22*EF_cw*(1/365)*ED_con*ET_cw_o*(1/24)*GSF_a),".")</f>
        <v>237416.73729977215</v>
      </c>
      <c r="AQ22" s="22">
        <f t="shared" ref="AQ22:AQ23" si="35">IFERROR(IF(AND(ISNUMBER(AO22),ISNUMBER(AP22)),1/((1/AO22)+(1/AP22)),IF(AND(ISNUMBER(AO22),NOT(ISNUMBER(AP22))),1/((1/AO22)),IF(AND(NOT(ISNUMBER(AO22)),ISNUMBER(AP22)),1/((1/AP22)),IF(AND(NOT(ISNUMBER(AO22)),NOT(ISNUMBER(AP22))),".")))),".")</f>
        <v>7.6455519537972604E-3</v>
      </c>
      <c r="AR22" s="43">
        <f t="shared" si="7"/>
        <v>5000</v>
      </c>
      <c r="AS22" s="43">
        <f t="shared" si="8"/>
        <v>0.22831050228310501</v>
      </c>
      <c r="AT22" s="10"/>
      <c r="AU22" s="10"/>
      <c r="AV22" s="10"/>
    </row>
    <row r="23" spans="1:48" x14ac:dyDescent="0.25">
      <c r="A23" s="25" t="s">
        <v>33</v>
      </c>
      <c r="B23" s="24" t="s">
        <v>275</v>
      </c>
      <c r="C23" s="109"/>
      <c r="D23" s="22">
        <f>IFERROR((TR/(RadSpec!I23*EF_cw*ED_con*IRS_cw*(1/1000)))*1,".")</f>
        <v>41.155820050292412</v>
      </c>
      <c r="E23" s="22">
        <f>IFERROR(IF(A23="H-3",(TR/(RadSpec!G23*EF_cw*ED_con*ET_cw_o*(1/24)*IRA_cw*(1/17)*1000))*1,(TR/(RadSpec!G23*EF_cw*ED_con*ET_cw_o*(1/24)*IRA_cw*(1/PEFsc)*1000))*1),".")</f>
        <v>5.5128700344748429</v>
      </c>
      <c r="F23" s="22">
        <f>IFERROR((TR/(RadSpec!F23*EF_cw*(1/365)*ED_con*def_acf!D23*ET_cw_o*(1/24)*RadSpec!V23))*1,".")</f>
        <v>2215.8010025532585</v>
      </c>
      <c r="G23" s="22">
        <f t="shared" si="33"/>
        <v>4.8510032908144867</v>
      </c>
      <c r="H23" s="43">
        <f t="shared" si="1"/>
        <v>82.5</v>
      </c>
      <c r="I23" s="43">
        <f t="shared" si="2"/>
        <v>6.4422246467249371</v>
      </c>
      <c r="J23" s="43">
        <f>C_*EF_cw*(1/365)*ED_con*(ET_cw_i+ET_cw_o)*(1/24)*RadSpec!U23*def_acf!D23*1</f>
        <v>1.8061332214039497E-2</v>
      </c>
      <c r="K23" s="4"/>
      <c r="L23" s="4"/>
      <c r="M23" s="4"/>
      <c r="N23" s="4"/>
      <c r="O23" s="22">
        <f>IFERROR((TR/(RadSpec!I23*EF_cw*ED_con*IRS_cw*(1/1000)))*1,".")</f>
        <v>41.155820050292412</v>
      </c>
      <c r="P23" s="22">
        <f>IFERROR(IF(A23="H-3",(TR/(RadSpec!G23*EF_cw*ED_con*ET_cw_o*(1/24)*IRA_cw*(1/17)*1000))*1,(TR/(RadSpec!G23*EF_cw*ED_con*ET_cw_o*(1/24)*IRA_cw*(1/PEF__sc)*1000))*1),".")</f>
        <v>843.03066867307223</v>
      </c>
      <c r="Q23" s="22">
        <f>IFERROR((TR/(RadSpec!F23*EF_cw*(1/365)*ED_con*def_acf!D23*ET_cw_o*(1/24)*RadSpec!V23))*1,".")</f>
        <v>2215.8010025532585</v>
      </c>
      <c r="R23" s="22">
        <f t="shared" si="34"/>
        <v>38.557337828466494</v>
      </c>
      <c r="S23" s="43">
        <f t="shared" si="4"/>
        <v>82.5</v>
      </c>
      <c r="T23" s="43">
        <f t="shared" si="5"/>
        <v>4.2127942114117772E-2</v>
      </c>
      <c r="U23" s="43">
        <f>C_*EF_cw*(1/365)*ED_con*(ET_cw_i+ET_cw_o)*(1/24)*RadSpec!U23*def_acf!D23*1</f>
        <v>1.8061332214039497E-2</v>
      </c>
      <c r="V23" s="11"/>
      <c r="W23" s="11"/>
      <c r="X23" s="11"/>
      <c r="Y23" s="11"/>
      <c r="Z23" s="22">
        <f>IFERROR((TR/(RadSpec!F23*EF_cw*(1/365)*ED_con*def_acf!D23*ET_cw_o*(1/24)*RadSpec!V23))*1,".")</f>
        <v>2215.8010025532585</v>
      </c>
      <c r="AA23" s="22">
        <f>IFERROR((TR/(RadSpec!M23*EF_cw*(1/365)*ED_con*def_acf!E23*ET_cw_o*(1/24)*RadSpec!R23))*1,".")</f>
        <v>12605.713437677985</v>
      </c>
      <c r="AB23" s="22">
        <f>IFERROR((TR/(RadSpec!N23*EF_cw*(1/365)*ED_con*def_acf!F23*ET_cw_o*(1/24)*RadSpec!X23))*1,".")</f>
        <v>3532.2057597787625</v>
      </c>
      <c r="AC23" s="22">
        <f>IFERROR((TR/(RadSpec!O23*EF_cw*(1/365)*ED_con*def_acf!G23*ET_cw_o*(1/24)*RadSpec!Y23))*1,".")</f>
        <v>2075.4834458618898</v>
      </c>
      <c r="AD23" s="22">
        <f>IFERROR((TR/(RadSpec!K23*EF_cw*(1/365)*ED_con*def_acf!C23*ET_cw_o*(1/24)*RadSpec!U23))*1,".")</f>
        <v>14176.377572692578</v>
      </c>
      <c r="AE23" s="43">
        <f>C_*EF_cw*(1/365)*ED_con*(ET_cw_i+ET_cw_o)*(1/24)*RadSpec!U23*def_acf!D23*1</f>
        <v>1.8061332214039497E-2</v>
      </c>
      <c r="AF23" s="43">
        <f>C_*EF_cw*(1/365)*ED_con*(ET_cw_i+ET_cw_o)*(1/24)*RadSpec!V23*def_acf!E23*1</f>
        <v>1.2525849745319291E-2</v>
      </c>
      <c r="AG23" s="43">
        <f>C_*EF_cw*(1/365)*ED_con*(ET_cw_i+ET_cw_o)*(1/24)*RadSpec!W23*def_acf!F23*1</f>
        <v>1.6349601186513903E-2</v>
      </c>
      <c r="AH23" s="43">
        <f>C_*EF_cw*(1/365)*ED_con*(ET_cw_i+ET_cw_o)*(1/24)*RadSpec!X23*def_acf!G23*1</f>
        <v>1.9838631023629018E-2</v>
      </c>
      <c r="AI23" s="43">
        <f>C_*EF_cw*(1/365)*ED_con*(ET_cw_i+ET_cw_o)*(1/24)*RadSpec!T23*def_acf!C23*1</f>
        <v>1.1292114031840068E-2</v>
      </c>
      <c r="AJ23" s="11"/>
      <c r="AK23" s="11"/>
      <c r="AL23" s="11"/>
      <c r="AM23" s="11"/>
      <c r="AN23" s="11"/>
      <c r="AO23" s="22">
        <f>IFERROR(TR/(RadSpec!G23*EF_cw*ED_con*ET_cw_o*(1/24)*IRA_cw),".")</f>
        <v>7.103029442057038E-3</v>
      </c>
      <c r="AP23" s="22">
        <f>IFERROR(TR/(RadSpec!J23*EF_cw*(1/365)*ED_con*ET_cw_o*(1/24)*GSF_a),".")</f>
        <v>153737.06759575411</v>
      </c>
      <c r="AQ23" s="22">
        <f t="shared" si="35"/>
        <v>7.1030291138796777E-3</v>
      </c>
      <c r="AR23" s="43">
        <f t="shared" si="7"/>
        <v>5000</v>
      </c>
      <c r="AS23" s="43">
        <f t="shared" si="8"/>
        <v>0.22831050228310501</v>
      </c>
      <c r="AT23" s="10"/>
      <c r="AU23" s="10"/>
      <c r="AV23" s="10"/>
    </row>
    <row r="24" spans="1:48" x14ac:dyDescent="0.25">
      <c r="A24" s="23" t="s">
        <v>34</v>
      </c>
      <c r="B24" s="24" t="s">
        <v>289</v>
      </c>
      <c r="C24" s="109"/>
      <c r="D24" s="22" t="str">
        <f>IFERROR((TR/(RadSpec!I24*EF_cw*ED_con*IRS_cw*(1/1000)))*1,".")</f>
        <v>.</v>
      </c>
      <c r="E24" s="22" t="str">
        <f>IFERROR(IF(A24="H-3",(TR/(RadSpec!G24*EF_cw*ED_con*ET_cw_o*(1/24)*IRA_cw*(1/17)*1000))*1,(TR/(RadSpec!G24*EF_cw*ED_con*ET_cw_o*(1/24)*IRA_cw*(1/PEFsc)*1000))*1),".")</f>
        <v>.</v>
      </c>
      <c r="F24" s="22">
        <f>IFERROR((TR/(RadSpec!F24*EF_cw*(1/365)*ED_con*def_acf!D24*ET_cw_o*(1/24)*RadSpec!V24))*1,".")</f>
        <v>15034.975737376082</v>
      </c>
      <c r="G24" s="22">
        <f t="shared" ref="G24:G25" si="36">(IF(AND(ISNUMBER(D24),ISNUMBER(E24),ISNUMBER(F24)),1/((1/D24)+(1/E24)+(1/F24)),IF(AND(ISNUMBER(D24),ISNUMBER(E24),NOT(ISNUMBER(F24))), 1/((1/D24)+(1/E24)),IF(AND(ISNUMBER(D24),NOT(ISNUMBER(E24)),ISNUMBER(F24)),1/((1/D24)+(1/F24)),IF(AND(NOT(ISNUMBER(D24)),ISNUMBER(E24),ISNUMBER(F24)),1/((1/E24)+(1/F24)),IF(AND(ISNUMBER(D24),NOT(ISNUMBER(E24)),NOT(ISNUMBER(F24))),1/((1/D24)),IF(AND(NOT(ISNUMBER(D24)),NOT(ISNUMBER(E24)),ISNUMBER(F24)),1/((1/F24)),IF(AND(NOT(ISNUMBER(D24)),ISNUMBER(E24),NOT(ISNUMBER(F24))),1/((1/E24)),IF(AND(NOT(ISNUMBER(D24)),NOT(ISNUMBER(E24)),NOT(ISNUMBER(F24))),".")))))))))</f>
        <v>15034.97573737608</v>
      </c>
      <c r="H24" s="43">
        <f t="shared" si="1"/>
        <v>82.5</v>
      </c>
      <c r="I24" s="43">
        <f t="shared" si="2"/>
        <v>6.4422246467249371</v>
      </c>
      <c r="J24" s="43">
        <f>C_*EF_cw*(1/365)*ED_con*(ET_cw_i+ET_cw_o)*(1/24)*RadSpec!U24*def_acf!D24*1</f>
        <v>1.9642356062345344E-2</v>
      </c>
      <c r="K24" s="4"/>
      <c r="L24" s="4"/>
      <c r="M24" s="4"/>
      <c r="N24" s="4"/>
      <c r="O24" s="22" t="str">
        <f>IFERROR((TR/(RadSpec!I24*EF_cw*ED_con*IRS_cw*(1/1000)))*1,".")</f>
        <v>.</v>
      </c>
      <c r="P24" s="22" t="str">
        <f>IFERROR(IF(A24="H-3",(TR/(RadSpec!G24*EF_cw*ED_con*ET_cw_o*(1/24)*IRA_cw*(1/17)*1000))*1,(TR/(RadSpec!G24*EF_cw*ED_con*ET_cw_o*(1/24)*IRA_cw*(1/PEF__sc)*1000))*1),".")</f>
        <v>.</v>
      </c>
      <c r="Q24" s="22">
        <f>IFERROR((TR/(RadSpec!F24*EF_cw*(1/365)*ED_con*def_acf!D24*ET_cw_o*(1/24)*RadSpec!V24))*1,".")</f>
        <v>15034.975737376082</v>
      </c>
      <c r="R24" s="22">
        <f t="shared" ref="R24:R25" si="37">(IF(AND(ISNUMBER(O24),ISNUMBER(P24),ISNUMBER(Q24)),1/((1/O24)+(1/P24)+(1/Q24)),IF(AND(ISNUMBER(O24),ISNUMBER(P24),NOT(ISNUMBER(Q24))), 1/((1/O24)+(1/P24)),IF(AND(ISNUMBER(O24),NOT(ISNUMBER(P24)),ISNUMBER(Q24)),1/((1/O24)+(1/Q24)),IF(AND(NOT(ISNUMBER(O24)),ISNUMBER(P24),ISNUMBER(Q24)),1/((1/P24)+(1/Q24)),IF(AND(ISNUMBER(O24),NOT(ISNUMBER(P24)),NOT(ISNUMBER(Q24))),1/((1/O24)),IF(AND(NOT(ISNUMBER(O24)),NOT(ISNUMBER(P24)),ISNUMBER(Q24)),1/((1/Q24)),IF(AND(NOT(ISNUMBER(O24)),ISNUMBER(P24),NOT(ISNUMBER(Q24))),1/((1/P24)),IF(AND(NOT(ISNUMBER(O24)),NOT(ISNUMBER(P24)),NOT(ISNUMBER(Q24))),".")))))))))</f>
        <v>15034.97573737608</v>
      </c>
      <c r="S24" s="43">
        <f t="shared" si="4"/>
        <v>82.5</v>
      </c>
      <c r="T24" s="43">
        <f t="shared" si="5"/>
        <v>4.2127942114117772E-2</v>
      </c>
      <c r="U24" s="43">
        <f>C_*EF_cw*(1/365)*ED_con*(ET_cw_i+ET_cw_o)*(1/24)*RadSpec!U24*def_acf!D24*1</f>
        <v>1.9642356062345344E-2</v>
      </c>
      <c r="V24" s="11"/>
      <c r="W24" s="11"/>
      <c r="X24" s="11"/>
      <c r="Y24" s="11"/>
      <c r="Z24" s="22">
        <f>IFERROR((TR/(RadSpec!F24*EF_cw*(1/365)*ED_con*def_acf!D24*ET_cw_o*(1/24)*RadSpec!V24))*1,".")</f>
        <v>15034.975737376082</v>
      </c>
      <c r="AA24" s="22">
        <f>IFERROR((TR/(RadSpec!M24*EF_cw*(1/365)*ED_con*def_acf!E24*ET_cw_o*(1/24)*RadSpec!R24))*1,".")</f>
        <v>134848.42278490728</v>
      </c>
      <c r="AB24" s="22">
        <f>IFERROR((TR/(RadSpec!N24*EF_cw*(1/365)*ED_con*def_acf!F24*ET_cw_o*(1/24)*RadSpec!X24))*1,".")</f>
        <v>32872.482773615935</v>
      </c>
      <c r="AC24" s="22">
        <f>IFERROR((TR/(RadSpec!O24*EF_cw*(1/365)*ED_con*def_acf!G24*ET_cw_o*(1/24)*RadSpec!Y24))*1,".")</f>
        <v>16488.722854225933</v>
      </c>
      <c r="AD24" s="22">
        <f>IFERROR((TR/(RadSpec!K24*EF_cw*(1/365)*ED_con*def_acf!C24*ET_cw_o*(1/24)*RadSpec!U24))*1,".")</f>
        <v>204687.79041355819</v>
      </c>
      <c r="AE24" s="43">
        <f>C_*EF_cw*(1/365)*ED_con*(ET_cw_i+ET_cw_o)*(1/24)*RadSpec!U24*def_acf!D24*1</f>
        <v>1.9642356062345344E-2</v>
      </c>
      <c r="AF24" s="43">
        <f>C_*EF_cw*(1/365)*ED_con*(ET_cw_i+ET_cw_o)*(1/24)*RadSpec!V24*def_acf!E24*1</f>
        <v>1.0641911015510023E-2</v>
      </c>
      <c r="AG24" s="43">
        <f>C_*EF_cw*(1/365)*ED_con*(ET_cw_i+ET_cw_o)*(1/24)*RadSpec!W24*def_acf!F24*1</f>
        <v>1.5507883173946758E-2</v>
      </c>
      <c r="AH24" s="43">
        <f>C_*EF_cw*(1/365)*ED_con*(ET_cw_i+ET_cw_o)*(1/24)*RadSpec!X24*def_acf!G24*1</f>
        <v>1.9977168949771688E-2</v>
      </c>
      <c r="AI24" s="43">
        <f>C_*EF_cw*(1/365)*ED_con*(ET_cw_i+ET_cw_o)*(1/24)*RadSpec!T24*def_acf!C24*1</f>
        <v>7.1768491224013919E-3</v>
      </c>
      <c r="AJ24" s="11"/>
      <c r="AK24" s="11"/>
      <c r="AL24" s="11"/>
      <c r="AM24" s="11"/>
      <c r="AN24" s="11"/>
      <c r="AO24" s="22" t="str">
        <f>IFERROR(TR/(RadSpec!G24*EF_cw*ED_con*ET_cw_o*(1/24)*IRA_cw),".")</f>
        <v>.</v>
      </c>
      <c r="AP24" s="22">
        <f>IFERROR(TR/(RadSpec!J24*EF_cw*(1/365)*ED_con*ET_cw_o*(1/24)*GSF_a),".")</f>
        <v>1374060.2378521611</v>
      </c>
      <c r="AQ24" s="22">
        <f t="shared" ref="AQ24:AQ25" si="38">IFERROR(IF(AND(ISNUMBER(AO24),ISNUMBER(AP24)),1/((1/AO24)+(1/AP24)),IF(AND(ISNUMBER(AO24),NOT(ISNUMBER(AP24))),1/((1/AO24)),IF(AND(NOT(ISNUMBER(AO24)),ISNUMBER(AP24)),1/((1/AP24)),IF(AND(NOT(ISNUMBER(AO24)),NOT(ISNUMBER(AP24))),".")))),".")</f>
        <v>1374060.2378521611</v>
      </c>
      <c r="AR24" s="43">
        <f t="shared" si="7"/>
        <v>5000</v>
      </c>
      <c r="AS24" s="43">
        <f t="shared" si="8"/>
        <v>0.22831050228310501</v>
      </c>
      <c r="AT24" s="10"/>
      <c r="AU24" s="10"/>
      <c r="AV24" s="10"/>
    </row>
    <row r="25" spans="1:48" x14ac:dyDescent="0.25">
      <c r="A25" s="25" t="s">
        <v>35</v>
      </c>
      <c r="B25" s="24" t="s">
        <v>275</v>
      </c>
      <c r="C25" s="109"/>
      <c r="D25" s="22" t="str">
        <f>IFERROR((TR/(RadSpec!I25*EF_cw*ED_con*IRS_cw*(1/1000)))*1,".")</f>
        <v>.</v>
      </c>
      <c r="E25" s="22">
        <f>IFERROR(IF(A25="H-3",(TR/(RadSpec!G25*EF_cw*ED_con*ET_cw_o*(1/24)*IRA_cw*(1/17)*1000))*1,(TR/(RadSpec!G25*EF_cw*ED_con*ET_cw_o*(1/24)*IRA_cw*(1/PEFsc)*1000))*1),".")</f>
        <v>68081.527000310583</v>
      </c>
      <c r="F25" s="22">
        <f>IFERROR((TR/(RadSpec!F25*EF_cw*(1/365)*ED_con*def_acf!D25*ET_cw_o*(1/24)*RadSpec!V25))*1,".")</f>
        <v>29759.22754488196</v>
      </c>
      <c r="G25" s="22">
        <f t="shared" si="36"/>
        <v>20707.66587015062</v>
      </c>
      <c r="H25" s="43">
        <f t="shared" si="1"/>
        <v>82.5</v>
      </c>
      <c r="I25" s="43">
        <f t="shared" si="2"/>
        <v>6.4422246467249371</v>
      </c>
      <c r="J25" s="43">
        <f>C_*EF_cw*(1/365)*ED_con*(ET_cw_i+ET_cw_o)*(1/24)*RadSpec!U25*def_acf!D25*1</f>
        <v>1.9847447073474474E-2</v>
      </c>
      <c r="K25" s="4"/>
      <c r="L25" s="4"/>
      <c r="M25" s="4"/>
      <c r="N25" s="4"/>
      <c r="O25" s="22" t="str">
        <f>IFERROR((TR/(RadSpec!I25*EF_cw*ED_con*IRS_cw*(1/1000)))*1,".")</f>
        <v>.</v>
      </c>
      <c r="P25" s="22">
        <f>IFERROR(IF(A25="H-3",(TR/(RadSpec!G25*EF_cw*ED_con*ET_cw_o*(1/24)*IRA_cw*(1/17)*1000))*1,(TR/(RadSpec!G25*EF_cw*ED_con*ET_cw_o*(1/24)*IRA_cw*(1/PEF__sc)*1000))*1),".")</f>
        <v>10411059.007819165</v>
      </c>
      <c r="Q25" s="22">
        <f>IFERROR((TR/(RadSpec!F25*EF_cw*(1/365)*ED_con*def_acf!D25*ET_cw_o*(1/24)*RadSpec!V25))*1,".")</f>
        <v>29759.22754488196</v>
      </c>
      <c r="R25" s="22">
        <f t="shared" si="37"/>
        <v>29674.405493189839</v>
      </c>
      <c r="S25" s="43">
        <f t="shared" si="4"/>
        <v>82.5</v>
      </c>
      <c r="T25" s="43">
        <f t="shared" si="5"/>
        <v>4.2127942114117772E-2</v>
      </c>
      <c r="U25" s="43">
        <f>C_*EF_cw*(1/365)*ED_con*(ET_cw_i+ET_cw_o)*(1/24)*RadSpec!U25*def_acf!D25*1</f>
        <v>1.9847447073474474E-2</v>
      </c>
      <c r="V25" s="11"/>
      <c r="W25" s="11"/>
      <c r="X25" s="11"/>
      <c r="Y25" s="11"/>
      <c r="Z25" s="22">
        <f>IFERROR((TR/(RadSpec!F25*EF_cw*(1/365)*ED_con*def_acf!D25*ET_cw_o*(1/24)*RadSpec!V25))*1,".")</f>
        <v>29759.22754488196</v>
      </c>
      <c r="AA25" s="22">
        <f>IFERROR((TR/(RadSpec!M25*EF_cw*(1/365)*ED_con*def_acf!E25*ET_cw_o*(1/24)*RadSpec!R25))*1,".")</f>
        <v>258677.37734364095</v>
      </c>
      <c r="AB25" s="22">
        <f>IFERROR((TR/(RadSpec!N25*EF_cw*(1/365)*ED_con*def_acf!F25*ET_cw_o*(1/24)*RadSpec!X25))*1,".")</f>
        <v>62465.669317942309</v>
      </c>
      <c r="AC25" s="22">
        <f>IFERROR((TR/(RadSpec!O25*EF_cw*(1/365)*ED_con*def_acf!G25*ET_cw_o*(1/24)*RadSpec!Y25))*1,".")</f>
        <v>32993.590197953672</v>
      </c>
      <c r="AD25" s="22">
        <f>IFERROR((TR/(RadSpec!K25*EF_cw*(1/365)*ED_con*def_acf!C25*ET_cw_o*(1/24)*RadSpec!U25))*1,".")</f>
        <v>398362.96395730542</v>
      </c>
      <c r="AE25" s="43">
        <f>C_*EF_cw*(1/365)*ED_con*(ET_cw_i+ET_cw_o)*(1/24)*RadSpec!U25*def_acf!D25*1</f>
        <v>1.9847447073474474E-2</v>
      </c>
      <c r="AF25" s="43">
        <f>C_*EF_cw*(1/365)*ED_con*(ET_cw_i+ET_cw_o)*(1/24)*RadSpec!V25*def_acf!E25*1</f>
        <v>1.0833842305790662E-2</v>
      </c>
      <c r="AG25" s="43">
        <f>C_*EF_cw*(1/365)*ED_con*(ET_cw_i+ET_cw_o)*(1/24)*RadSpec!W25*def_acf!F25*1</f>
        <v>1.5898061153744997E-2</v>
      </c>
      <c r="AH25" s="43">
        <f>C_*EF_cw*(1/365)*ED_con*(ET_cw_i+ET_cw_o)*(1/24)*RadSpec!X25*def_acf!G25*1</f>
        <v>1.9664857413629701E-2</v>
      </c>
      <c r="AI25" s="43">
        <f>C_*EF_cw*(1/365)*ED_con*(ET_cw_i+ET_cw_o)*(1/24)*RadSpec!T25*def_acf!C25*1</f>
        <v>7.166285383534087E-3</v>
      </c>
      <c r="AJ25" s="11"/>
      <c r="AK25" s="11"/>
      <c r="AL25" s="11"/>
      <c r="AM25" s="11"/>
      <c r="AN25" s="11"/>
      <c r="AO25" s="22">
        <f>IFERROR(TR/(RadSpec!G25*EF_cw*ED_con*ET_cw_o*(1/24)*IRA_cw),".")</f>
        <v>87.719298245614041</v>
      </c>
      <c r="AP25" s="22">
        <f>IFERROR(TR/(RadSpec!J25*EF_cw*(1/365)*ED_con*ET_cw_o*(1/24)*GSF_a),".")</f>
        <v>2698693.8484434532</v>
      </c>
      <c r="AQ25" s="22">
        <f t="shared" si="38"/>
        <v>87.716447079229681</v>
      </c>
      <c r="AR25" s="43">
        <f t="shared" si="7"/>
        <v>5000</v>
      </c>
      <c r="AS25" s="43">
        <f t="shared" si="8"/>
        <v>0.22831050228310501</v>
      </c>
      <c r="AT25" s="10"/>
      <c r="AU25" s="10"/>
      <c r="AV25" s="10"/>
    </row>
    <row r="26" spans="1:48" x14ac:dyDescent="0.25">
      <c r="A26" s="23" t="s">
        <v>36</v>
      </c>
      <c r="B26" s="24" t="s">
        <v>289</v>
      </c>
      <c r="C26" s="2"/>
      <c r="D26" s="22">
        <f>IFERROR((TR/(RadSpec!I26*EF_cw*ED_con*IRS_cw*(1/1000)))*1,".")</f>
        <v>61.579008947429998</v>
      </c>
      <c r="E26" s="22">
        <f>IFERROR(IF(A26="H-3",(TR/(RadSpec!G26*EF_cw*ED_con*ET_cw_o*(1/24)*IRA_cw*(1/17)*1000))*1,(TR/(RadSpec!G26*EF_cw*ED_con*ET_cw_o*(1/24)*IRA_cw*(1/PEFsc)*1000))*1),".")</f>
        <v>0.88883349496511765</v>
      </c>
      <c r="F26" s="22">
        <f>IFERROR((TR/(RadSpec!F26*EF_cw*(1/365)*ED_con*def_acf!D26*ET_cw_o*(1/24)*RadSpec!V26))*1,".")</f>
        <v>218.73414757792631</v>
      </c>
      <c r="G26" s="22">
        <f t="shared" ref="G26:G29" si="39">(IF(AND(ISNUMBER(D26),ISNUMBER(E26),ISNUMBER(F26)),1/((1/D26)+(1/E26)+(1/F26)),IF(AND(ISNUMBER(D26),ISNUMBER(E26),NOT(ISNUMBER(F26))), 1/((1/D26)+(1/E26)),IF(AND(ISNUMBER(D26),NOT(ISNUMBER(E26)),ISNUMBER(F26)),1/((1/D26)+(1/F26)),IF(AND(NOT(ISNUMBER(D26)),ISNUMBER(E26),ISNUMBER(F26)),1/((1/E26)+(1/F26)),IF(AND(ISNUMBER(D26),NOT(ISNUMBER(E26)),NOT(ISNUMBER(F26))),1/((1/D26)),IF(AND(NOT(ISNUMBER(D26)),NOT(ISNUMBER(E26)),ISNUMBER(F26)),1/((1/F26)),IF(AND(NOT(ISNUMBER(D26)),ISNUMBER(E26),NOT(ISNUMBER(F26))),1/((1/E26)),IF(AND(NOT(ISNUMBER(D26)),NOT(ISNUMBER(E26)),NOT(ISNUMBER(F26))),".")))))))))</f>
        <v>0.87269083765041178</v>
      </c>
      <c r="H26" s="43">
        <f t="shared" si="1"/>
        <v>82.5</v>
      </c>
      <c r="I26" s="43">
        <f t="shared" si="2"/>
        <v>6.4422246467249371</v>
      </c>
      <c r="J26" s="43">
        <f>C_*EF_cw*(1/365)*ED_con*(ET_cw_i+ET_cw_o)*(1/24)*RadSpec!U26*def_acf!D26*1</f>
        <v>2.0392782728199679E-2</v>
      </c>
      <c r="K26" s="4"/>
      <c r="L26" s="4"/>
      <c r="M26" s="4"/>
      <c r="N26" s="4"/>
      <c r="O26" s="22">
        <f>IFERROR((TR/(RadSpec!I26*EF_cw*ED_con*IRS_cw*(1/1000)))*1,".")</f>
        <v>61.579008947429998</v>
      </c>
      <c r="P26" s="22">
        <f>IFERROR(IF(A26="H-3",(TR/(RadSpec!G26*EF_cw*ED_con*ET_cw_o*(1/24)*IRA_cw*(1/17)*1000))*1,(TR/(RadSpec!G26*EF_cw*ED_con*ET_cw_o*(1/24)*IRA_cw*(1/PEF__sc)*1000))*1),".")</f>
        <v>135.92083450428137</v>
      </c>
      <c r="Q26" s="22">
        <f>IFERROR((TR/(RadSpec!F26*EF_cw*(1/365)*ED_con*def_acf!D26*ET_cw_o*(1/24)*RadSpec!V26))*1,".")</f>
        <v>218.73414757792631</v>
      </c>
      <c r="R26" s="22">
        <f t="shared" ref="R26:R29" si="40">(IF(AND(ISNUMBER(O26),ISNUMBER(P26),ISNUMBER(Q26)),1/((1/O26)+(1/P26)+(1/Q26)),IF(AND(ISNUMBER(O26),ISNUMBER(P26),NOT(ISNUMBER(Q26))), 1/((1/O26)+(1/P26)),IF(AND(ISNUMBER(O26),NOT(ISNUMBER(P26)),ISNUMBER(Q26)),1/((1/O26)+(1/Q26)),IF(AND(NOT(ISNUMBER(O26)),ISNUMBER(P26),ISNUMBER(Q26)),1/((1/P26)+(1/Q26)),IF(AND(ISNUMBER(O26),NOT(ISNUMBER(P26)),NOT(ISNUMBER(Q26))),1/((1/O26)),IF(AND(NOT(ISNUMBER(O26)),NOT(ISNUMBER(P26)),ISNUMBER(Q26)),1/((1/Q26)),IF(AND(NOT(ISNUMBER(O26)),ISNUMBER(P26),NOT(ISNUMBER(Q26))),1/((1/P26)),IF(AND(NOT(ISNUMBER(O26)),NOT(ISNUMBER(P26)),NOT(ISNUMBER(Q26))),".")))))))))</f>
        <v>35.500920504154216</v>
      </c>
      <c r="S26" s="43">
        <f t="shared" si="4"/>
        <v>82.5</v>
      </c>
      <c r="T26" s="43">
        <f t="shared" si="5"/>
        <v>4.2127942114117772E-2</v>
      </c>
      <c r="U26" s="43">
        <f>C_*EF_cw*(1/365)*ED_con*(ET_cw_i+ET_cw_o)*(1/24)*RadSpec!U26*def_acf!D26*1</f>
        <v>2.0392782728199679E-2</v>
      </c>
      <c r="V26" s="11"/>
      <c r="W26" s="11"/>
      <c r="X26" s="11"/>
      <c r="Y26" s="11"/>
      <c r="Z26" s="22">
        <f>IFERROR((TR/(RadSpec!F26*EF_cw*(1/365)*ED_con*def_acf!D26*ET_cw_o*(1/24)*RadSpec!V26))*1,".")</f>
        <v>218.73414757792631</v>
      </c>
      <c r="AA26" s="22">
        <f>IFERROR((TR/(RadSpec!M26*EF_cw*(1/365)*ED_con*def_acf!E26*ET_cw_o*(1/24)*RadSpec!R26))*1,".")</f>
        <v>750.89767982552655</v>
      </c>
      <c r="AB26" s="22">
        <f>IFERROR((TR/(RadSpec!N26*EF_cw*(1/365)*ED_con*def_acf!F26*ET_cw_o*(1/24)*RadSpec!X26))*1,".")</f>
        <v>296.13081041040209</v>
      </c>
      <c r="AC26" s="22">
        <f>IFERROR((TR/(RadSpec!O26*EF_cw*(1/365)*ED_con*def_acf!G26*ET_cw_o*(1/24)*RadSpec!Y26))*1,".")</f>
        <v>213.81505596785323</v>
      </c>
      <c r="AD26" s="22">
        <f>IFERROR((TR/(RadSpec!K26*EF_cw*(1/365)*ED_con*def_acf!C26*ET_cw_o*(1/24)*RadSpec!U26))*1,".")</f>
        <v>700.96649419528887</v>
      </c>
      <c r="AE26" s="43">
        <f>C_*EF_cw*(1/365)*ED_con*(ET_cw_i+ET_cw_o)*(1/24)*RadSpec!U26*def_acf!D26*1</f>
        <v>2.0392782728199679E-2</v>
      </c>
      <c r="AF26" s="43">
        <f>C_*EF_cw*(1/365)*ED_con*(ET_cw_i+ET_cw_o)*(1/24)*RadSpec!V26*def_acf!E26*1</f>
        <v>1.9691780821917807E-2</v>
      </c>
      <c r="AG26" s="43">
        <f>C_*EF_cw*(1/365)*ED_con*(ET_cw_i+ET_cw_o)*(1/24)*RadSpec!W26*def_acf!F26*1</f>
        <v>1.9795227520356642E-2</v>
      </c>
      <c r="AH26" s="43">
        <f>C_*EF_cw*(1/365)*ED_con*(ET_cw_i+ET_cw_o)*(1/24)*RadSpec!X26*def_acf!G26*1</f>
        <v>2.1081544463689018E-2</v>
      </c>
      <c r="AI26" s="43">
        <f>C_*EF_cw*(1/365)*ED_con*(ET_cw_i+ET_cw_o)*(1/24)*RadSpec!T26*def_acf!C26*1</f>
        <v>2.0161573586231118E-2</v>
      </c>
      <c r="AJ26" s="11"/>
      <c r="AK26" s="11"/>
      <c r="AL26" s="11"/>
      <c r="AM26" s="11"/>
      <c r="AN26" s="11"/>
      <c r="AO26" s="22">
        <f>IFERROR(TR/(RadSpec!G26*EF_cw*ED_con*ET_cw_o*(1/24)*IRA_cw),".")</f>
        <v>1.1452130096197893E-3</v>
      </c>
      <c r="AP26" s="22">
        <f>IFERROR(TR/(RadSpec!J26*EF_cw*(1/365)*ED_con*ET_cw_o*(1/24)*GSF_a),".")</f>
        <v>14596.048440997663</v>
      </c>
      <c r="AQ26" s="22">
        <f t="shared" ref="AQ26:AQ29" si="41">IFERROR(IF(AND(ISNUMBER(AO26),ISNUMBER(AP26)),1/((1/AO26)+(1/AP26)),IF(AND(ISNUMBER(AO26),NOT(ISNUMBER(AP26))),1/((1/AO26)),IF(AND(NOT(ISNUMBER(AO26)),ISNUMBER(AP26)),1/((1/AP26)),IF(AND(NOT(ISNUMBER(AO26)),NOT(ISNUMBER(AP26))),".")))),".")</f>
        <v>1.1452129197658306E-3</v>
      </c>
      <c r="AR26" s="43">
        <f t="shared" si="7"/>
        <v>5000</v>
      </c>
      <c r="AS26" s="43">
        <f t="shared" si="8"/>
        <v>0.22831050228310501</v>
      </c>
      <c r="AT26" s="10"/>
      <c r="AU26" s="10"/>
      <c r="AV26" s="10"/>
    </row>
    <row r="27" spans="1:48" x14ac:dyDescent="0.25">
      <c r="A27" s="23" t="s">
        <v>37</v>
      </c>
      <c r="B27" s="24" t="s">
        <v>289</v>
      </c>
      <c r="C27" s="109"/>
      <c r="D27" s="22" t="str">
        <f>IFERROR((TR/(RadSpec!I27*EF_cw*ED_con*IRS_cw*(1/1000)))*1,".")</f>
        <v>.</v>
      </c>
      <c r="E27" s="22" t="str">
        <f>IFERROR(IF(A27="H-3",(TR/(RadSpec!G27*EF_cw*ED_con*ET_cw_o*(1/24)*IRA_cw*(1/17)*1000))*1,(TR/(RadSpec!G27*EF_cw*ED_con*ET_cw_o*(1/24)*IRA_cw*(1/PEFsc)*1000))*1),".")</f>
        <v>.</v>
      </c>
      <c r="F27" s="22">
        <f>IFERROR((TR/(RadSpec!F27*EF_cw*(1/365)*ED_con*def_acf!D27*ET_cw_o*(1/24)*RadSpec!V27))*1,".")</f>
        <v>7830.6133595415122</v>
      </c>
      <c r="G27" s="22">
        <f t="shared" si="39"/>
        <v>7830.6133595415122</v>
      </c>
      <c r="H27" s="43">
        <f t="shared" si="1"/>
        <v>82.5</v>
      </c>
      <c r="I27" s="43">
        <f t="shared" si="2"/>
        <v>6.4422246467249371</v>
      </c>
      <c r="J27" s="43">
        <f>C_*EF_cw*(1/365)*ED_con*(ET_cw_i+ET_cw_o)*(1/24)*RadSpec!U27*def_acf!D27*1</f>
        <v>2.09120610927413E-2</v>
      </c>
      <c r="K27" s="4"/>
      <c r="L27" s="4"/>
      <c r="M27" s="4"/>
      <c r="N27" s="4"/>
      <c r="O27" s="22" t="str">
        <f>IFERROR((TR/(RadSpec!I27*EF_cw*ED_con*IRS_cw*(1/1000)))*1,".")</f>
        <v>.</v>
      </c>
      <c r="P27" s="22" t="str">
        <f>IFERROR(IF(A27="H-3",(TR/(RadSpec!G27*EF_cw*ED_con*ET_cw_o*(1/24)*IRA_cw*(1/17)*1000))*1,(TR/(RadSpec!G27*EF_cw*ED_con*ET_cw_o*(1/24)*IRA_cw*(1/PEF__sc)*1000))*1),".")</f>
        <v>.</v>
      </c>
      <c r="Q27" s="22">
        <f>IFERROR((TR/(RadSpec!F27*EF_cw*(1/365)*ED_con*def_acf!D27*ET_cw_o*(1/24)*RadSpec!V27))*1,".")</f>
        <v>7830.6133595415122</v>
      </c>
      <c r="R27" s="22">
        <f t="shared" si="40"/>
        <v>7830.6133595415122</v>
      </c>
      <c r="S27" s="43">
        <f t="shared" si="4"/>
        <v>82.5</v>
      </c>
      <c r="T27" s="43">
        <f t="shared" si="5"/>
        <v>4.2127942114117772E-2</v>
      </c>
      <c r="U27" s="43">
        <f>C_*EF_cw*(1/365)*ED_con*(ET_cw_i+ET_cw_o)*(1/24)*RadSpec!U27*def_acf!D27*1</f>
        <v>2.09120610927413E-2</v>
      </c>
      <c r="V27" s="11"/>
      <c r="W27" s="11"/>
      <c r="X27" s="11"/>
      <c r="Y27" s="11"/>
      <c r="Z27" s="22">
        <f>IFERROR((TR/(RadSpec!F27*EF_cw*(1/365)*ED_con*def_acf!D27*ET_cw_o*(1/24)*RadSpec!V27))*1,".")</f>
        <v>7830.6133595415122</v>
      </c>
      <c r="AA27" s="22">
        <f>IFERROR((TR/(RadSpec!M27*EF_cw*(1/365)*ED_con*def_acf!E27*ET_cw_o*(1/24)*RadSpec!R27))*1,".")</f>
        <v>35429.670038777404</v>
      </c>
      <c r="AB27" s="22">
        <f>IFERROR((TR/(RadSpec!N27*EF_cw*(1/365)*ED_con*def_acf!F27*ET_cw_o*(1/24)*RadSpec!X27))*1,".")</f>
        <v>13172.283700434811</v>
      </c>
      <c r="AC27" s="22">
        <f>IFERROR((TR/(RadSpec!O27*EF_cw*(1/365)*ED_con*def_acf!G27*ET_cw_o*(1/24)*RadSpec!Y27))*1,".")</f>
        <v>8786.000678926921</v>
      </c>
      <c r="AD27" s="22">
        <f>IFERROR((TR/(RadSpec!K27*EF_cw*(1/365)*ED_con*def_acf!C27*ET_cw_o*(1/24)*RadSpec!U27))*1,".")</f>
        <v>7556.3952998504737</v>
      </c>
      <c r="AE27" s="43">
        <f>C_*EF_cw*(1/365)*ED_con*(ET_cw_i+ET_cw_o)*(1/24)*RadSpec!U27*def_acf!D27*1</f>
        <v>2.09120610927413E-2</v>
      </c>
      <c r="AF27" s="43">
        <f>C_*EF_cw*(1/365)*ED_con*(ET_cw_i+ET_cw_o)*(1/24)*RadSpec!V27*def_acf!E27*1</f>
        <v>1.3610818405338948E-2</v>
      </c>
      <c r="AG27" s="43">
        <f>C_*EF_cw*(1/365)*ED_con*(ET_cw_i+ET_cw_o)*(1/24)*RadSpec!W27*def_acf!F27*1</f>
        <v>1.7218735205632166E-2</v>
      </c>
      <c r="AH27" s="43">
        <f>C_*EF_cw*(1/365)*ED_con*(ET_cw_i+ET_cw_o)*(1/24)*RadSpec!X27*def_acf!G27*1</f>
        <v>1.9417770293845477E-2</v>
      </c>
      <c r="AI27" s="43">
        <f>C_*EF_cw*(1/365)*ED_con*(ET_cw_i+ET_cw_o)*(1/24)*RadSpec!T27*def_acf!C27*1</f>
        <v>1.5441290009485365E-2</v>
      </c>
      <c r="AJ27" s="11"/>
      <c r="AK27" s="11"/>
      <c r="AL27" s="11"/>
      <c r="AM27" s="11"/>
      <c r="AN27" s="11"/>
      <c r="AO27" s="22" t="str">
        <f>IFERROR(TR/(RadSpec!G27*EF_cw*ED_con*ET_cw_o*(1/24)*IRA_cw),".")</f>
        <v>.</v>
      </c>
      <c r="AP27" s="22">
        <f>IFERROR(TR/(RadSpec!J27*EF_cw*(1/365)*ED_con*ET_cw_o*(1/24)*GSF_a),".")</f>
        <v>465985.64588029811</v>
      </c>
      <c r="AQ27" s="22">
        <f t="shared" si="41"/>
        <v>465985.64588029811</v>
      </c>
      <c r="AR27" s="43">
        <f t="shared" si="7"/>
        <v>5000</v>
      </c>
      <c r="AS27" s="43">
        <f t="shared" si="8"/>
        <v>0.22831050228310501</v>
      </c>
      <c r="AT27" s="10"/>
      <c r="AU27" s="10"/>
      <c r="AV27" s="10"/>
    </row>
    <row r="28" spans="1:48" x14ac:dyDescent="0.25">
      <c r="A28" s="23" t="s">
        <v>38</v>
      </c>
      <c r="B28" s="24" t="s">
        <v>289</v>
      </c>
      <c r="C28" s="2"/>
      <c r="D28" s="22" t="str">
        <f>IFERROR((TR/(RadSpec!I28*EF_cw*ED_con*IRS_cw*(1/1000)))*1,".")</f>
        <v>.</v>
      </c>
      <c r="E28" s="22" t="str">
        <f>IFERROR(IF(A28="H-3",(TR/(RadSpec!G28*EF_cw*ED_con*ET_cw_o*(1/24)*IRA_cw*(1/17)*1000))*1,(TR/(RadSpec!G28*EF_cw*ED_con*ET_cw_o*(1/24)*IRA_cw*(1/PEFsc)*1000))*1),".")</f>
        <v>.</v>
      </c>
      <c r="F28" s="22">
        <f>IFERROR((TR/(RadSpec!F28*EF_cw*(1/365)*ED_con*def_acf!D28*ET_cw_o*(1/24)*RadSpec!V28))*1,".")</f>
        <v>4.5046935485973814</v>
      </c>
      <c r="G28" s="22">
        <f t="shared" si="39"/>
        <v>4.5046935485973814</v>
      </c>
      <c r="H28" s="43">
        <f t="shared" si="1"/>
        <v>82.5</v>
      </c>
      <c r="I28" s="43">
        <f t="shared" si="2"/>
        <v>6.4422246467249371</v>
      </c>
      <c r="J28" s="43">
        <f>C_*EF_cw*(1/365)*ED_con*(ET_cw_i+ET_cw_o)*(1/24)*RadSpec!U28*def_acf!D28*1</f>
        <v>2.1506849315068494E-2</v>
      </c>
      <c r="K28" s="4"/>
      <c r="L28" s="4"/>
      <c r="M28" s="4"/>
      <c r="N28" s="4"/>
      <c r="O28" s="22" t="str">
        <f>IFERROR((TR/(RadSpec!I28*EF_cw*ED_con*IRS_cw*(1/1000)))*1,".")</f>
        <v>.</v>
      </c>
      <c r="P28" s="22" t="str">
        <f>IFERROR(IF(A28="H-3",(TR/(RadSpec!G28*EF_cw*ED_con*ET_cw_o*(1/24)*IRA_cw*(1/17)*1000))*1,(TR/(RadSpec!G28*EF_cw*ED_con*ET_cw_o*(1/24)*IRA_cw*(1/PEF__sc)*1000))*1),".")</f>
        <v>.</v>
      </c>
      <c r="Q28" s="22">
        <f>IFERROR((TR/(RadSpec!F28*EF_cw*(1/365)*ED_con*def_acf!D28*ET_cw_o*(1/24)*RadSpec!V28))*1,".")</f>
        <v>4.5046935485973814</v>
      </c>
      <c r="R28" s="22">
        <f t="shared" si="40"/>
        <v>4.5046935485973814</v>
      </c>
      <c r="S28" s="43">
        <f t="shared" si="4"/>
        <v>82.5</v>
      </c>
      <c r="T28" s="43">
        <f t="shared" si="5"/>
        <v>4.2127942114117772E-2</v>
      </c>
      <c r="U28" s="43">
        <f>C_*EF_cw*(1/365)*ED_con*(ET_cw_i+ET_cw_o)*(1/24)*RadSpec!U28*def_acf!D28*1</f>
        <v>2.1506849315068494E-2</v>
      </c>
      <c r="V28" s="11"/>
      <c r="W28" s="11"/>
      <c r="X28" s="11"/>
      <c r="Y28" s="11"/>
      <c r="Z28" s="22">
        <f>IFERROR((TR/(RadSpec!F28*EF_cw*(1/365)*ED_con*def_acf!D28*ET_cw_o*(1/24)*RadSpec!V28))*1,".")</f>
        <v>4.5046935485973814</v>
      </c>
      <c r="AA28" s="22">
        <f>IFERROR((TR/(RadSpec!M28*EF_cw*(1/365)*ED_con*def_acf!E28*ET_cw_o*(1/24)*RadSpec!R28))*1,".")</f>
        <v>52.889241884850762</v>
      </c>
      <c r="AB28" s="22">
        <f>IFERROR((TR/(RadSpec!N28*EF_cw*(1/365)*ED_con*def_acf!F28*ET_cw_o*(1/24)*RadSpec!X28))*1,".")</f>
        <v>12.116098392576733</v>
      </c>
      <c r="AC28" s="22">
        <f>IFERROR((TR/(RadSpec!O28*EF_cw*(1/365)*ED_con*def_acf!G28*ET_cw_o*(1/24)*RadSpec!Y28))*1,".")</f>
        <v>5.9987898630091525</v>
      </c>
      <c r="AD28" s="22">
        <f>IFERROR((TR/(RadSpec!K28*EF_cw*(1/365)*ED_con*def_acf!C28*ET_cw_o*(1/24)*RadSpec!U28))*1,".")</f>
        <v>78.749654022069763</v>
      </c>
      <c r="AE28" s="43">
        <f>C_*EF_cw*(1/365)*ED_con*(ET_cw_i+ET_cw_o)*(1/24)*RadSpec!U28*def_acf!D28*1</f>
        <v>2.1506849315068494E-2</v>
      </c>
      <c r="AF28" s="43">
        <f>C_*EF_cw*(1/365)*ED_con*(ET_cw_i+ET_cw_o)*(1/24)*RadSpec!V28*def_acf!E28*1</f>
        <v>9.9221734011085156E-3</v>
      </c>
      <c r="AG28" s="43">
        <f>C_*EF_cw*(1/365)*ED_con*(ET_cw_i+ET_cw_o)*(1/24)*RadSpec!W28*def_acf!F28*1</f>
        <v>1.5078006088280069E-2</v>
      </c>
      <c r="AH28" s="43">
        <f>C_*EF_cw*(1/365)*ED_con*(ET_cw_i+ET_cw_o)*(1/24)*RadSpec!X28*def_acf!G28*1</f>
        <v>1.9137792103142624E-2</v>
      </c>
      <c r="AI28" s="43">
        <f>C_*EF_cw*(1/365)*ED_con*(ET_cw_i+ET_cw_o)*(1/24)*RadSpec!T28*def_acf!C28*1</f>
        <v>6.8398807502169862E-3</v>
      </c>
      <c r="AJ28" s="11"/>
      <c r="AK28" s="11"/>
      <c r="AL28" s="11"/>
      <c r="AM28" s="11"/>
      <c r="AN28" s="11"/>
      <c r="AO28" s="22" t="str">
        <f>IFERROR(TR/(RadSpec!G28*EF_cw*ED_con*ET_cw_o*(1/24)*IRA_cw),".")</f>
        <v>.</v>
      </c>
      <c r="AP28" s="22">
        <f>IFERROR(TR/(RadSpec!J28*EF_cw*(1/365)*ED_con*ET_cw_o*(1/24)*GSF_a),".")</f>
        <v>457.46151821175613</v>
      </c>
      <c r="AQ28" s="22">
        <f t="shared" si="41"/>
        <v>457.46151821175613</v>
      </c>
      <c r="AR28" s="43">
        <f t="shared" si="7"/>
        <v>5000</v>
      </c>
      <c r="AS28" s="43">
        <f t="shared" si="8"/>
        <v>0.22831050228310501</v>
      </c>
      <c r="AT28" s="10"/>
      <c r="AU28" s="10"/>
      <c r="AV28" s="10"/>
    </row>
    <row r="29" spans="1:48" x14ac:dyDescent="0.25">
      <c r="A29" s="23" t="s">
        <v>39</v>
      </c>
      <c r="B29" s="24" t="s">
        <v>289</v>
      </c>
      <c r="C29" s="109"/>
      <c r="D29" s="22" t="str">
        <f>IFERROR((TR/(RadSpec!I29*EF_cw*ED_con*IRS_cw*(1/1000)))*1,".")</f>
        <v>.</v>
      </c>
      <c r="E29" s="22" t="str">
        <f>IFERROR(IF(A29="H-3",(TR/(RadSpec!G29*EF_cw*ED_con*ET_cw_o*(1/24)*IRA_cw*(1/17)*1000))*1,(TR/(RadSpec!G29*EF_cw*ED_con*ET_cw_o*(1/24)*IRA_cw*(1/PEFsc)*1000))*1),".")</f>
        <v>.</v>
      </c>
      <c r="F29" s="22">
        <f>IFERROR((TR/(RadSpec!F29*EF_cw*(1/365)*ED_con*def_acf!D29*ET_cw_o*(1/24)*RadSpec!V29))*1,".")</f>
        <v>3.5337244812589277</v>
      </c>
      <c r="G29" s="22">
        <f t="shared" si="39"/>
        <v>3.5337244812589272</v>
      </c>
      <c r="H29" s="43">
        <f t="shared" si="1"/>
        <v>82.5</v>
      </c>
      <c r="I29" s="43">
        <f t="shared" si="2"/>
        <v>6.4422246467249371</v>
      </c>
      <c r="J29" s="43">
        <f>C_*EF_cw*(1/365)*ED_con*(ET_cw_i+ET_cw_o)*(1/24)*RadSpec!U29*def_acf!D29*1</f>
        <v>2.1074815595363536E-2</v>
      </c>
      <c r="K29" s="4"/>
      <c r="L29" s="4"/>
      <c r="M29" s="4"/>
      <c r="N29" s="4"/>
      <c r="O29" s="22" t="str">
        <f>IFERROR((TR/(RadSpec!I29*EF_cw*ED_con*IRS_cw*(1/1000)))*1,".")</f>
        <v>.</v>
      </c>
      <c r="P29" s="22" t="str">
        <f>IFERROR(IF(A29="H-3",(TR/(RadSpec!G29*EF_cw*ED_con*ET_cw_o*(1/24)*IRA_cw*(1/17)*1000))*1,(TR/(RadSpec!G29*EF_cw*ED_con*ET_cw_o*(1/24)*IRA_cw*(1/PEF__sc)*1000))*1),".")</f>
        <v>.</v>
      </c>
      <c r="Q29" s="22">
        <f>IFERROR((TR/(RadSpec!F29*EF_cw*(1/365)*ED_con*def_acf!D29*ET_cw_o*(1/24)*RadSpec!V29))*1,".")</f>
        <v>3.5337244812589277</v>
      </c>
      <c r="R29" s="22">
        <f t="shared" si="40"/>
        <v>3.5337244812589272</v>
      </c>
      <c r="S29" s="43">
        <f t="shared" si="4"/>
        <v>82.5</v>
      </c>
      <c r="T29" s="43">
        <f t="shared" si="5"/>
        <v>4.2127942114117772E-2</v>
      </c>
      <c r="U29" s="43">
        <f>C_*EF_cw*(1/365)*ED_con*(ET_cw_i+ET_cw_o)*(1/24)*RadSpec!U29*def_acf!D29*1</f>
        <v>2.1074815595363536E-2</v>
      </c>
      <c r="V29" s="11"/>
      <c r="W29" s="11"/>
      <c r="X29" s="11"/>
      <c r="Y29" s="11"/>
      <c r="Z29" s="22">
        <f>IFERROR((TR/(RadSpec!F29*EF_cw*(1/365)*ED_con*def_acf!D29*ET_cw_o*(1/24)*RadSpec!V29))*1,".")</f>
        <v>3.5337244812589277</v>
      </c>
      <c r="AA29" s="22">
        <f>IFERROR((TR/(RadSpec!M29*EF_cw*(1/365)*ED_con*def_acf!E29*ET_cw_o*(1/24)*RadSpec!R29))*1,".")</f>
        <v>39.919336181995355</v>
      </c>
      <c r="AB29" s="22">
        <f>IFERROR((TR/(RadSpec!N29*EF_cw*(1/365)*ED_con*def_acf!F29*ET_cw_o*(1/24)*RadSpec!X29))*1,".")</f>
        <v>9.3789676466982019</v>
      </c>
      <c r="AC29" s="22">
        <f>IFERROR((TR/(RadSpec!O29*EF_cw*(1/365)*ED_con*def_acf!G29*ET_cw_o*(1/24)*RadSpec!Y29))*1,".")</f>
        <v>4.5711631017684207</v>
      </c>
      <c r="AD29" s="22">
        <f>IFERROR((TR/(RadSpec!K29*EF_cw*(1/365)*ED_con*def_acf!C29*ET_cw_o*(1/24)*RadSpec!U29))*1,".")</f>
        <v>59.44077174611234</v>
      </c>
      <c r="AE29" s="43">
        <f>C_*EF_cw*(1/365)*ED_con*(ET_cw_i+ET_cw_o)*(1/24)*RadSpec!U29*def_acf!D29*1</f>
        <v>2.1074815595363536E-2</v>
      </c>
      <c r="AF29" s="43">
        <f>C_*EF_cw*(1/365)*ED_con*(ET_cw_i+ET_cw_o)*(1/24)*RadSpec!V29*def_acf!E29*1</f>
        <v>1.008183010081831E-2</v>
      </c>
      <c r="AG29" s="43">
        <f>C_*EF_cw*(1/365)*ED_con*(ET_cw_i+ET_cw_o)*(1/24)*RadSpec!W29*def_acf!F29*1</f>
        <v>1.4979396369306164E-2</v>
      </c>
      <c r="AH29" s="43">
        <f>C_*EF_cw*(1/365)*ED_con*(ET_cw_i+ET_cw_o)*(1/24)*RadSpec!X29*def_acf!G29*1</f>
        <v>1.9255497821865319E-2</v>
      </c>
      <c r="AI29" s="43">
        <f>C_*EF_cw*(1/365)*ED_con*(ET_cw_i+ET_cw_o)*(1/24)*RadSpec!T29*def_acf!C29*1</f>
        <v>6.9942741175617806E-3</v>
      </c>
      <c r="AJ29" s="11"/>
      <c r="AK29" s="11"/>
      <c r="AL29" s="11"/>
      <c r="AM29" s="11"/>
      <c r="AN29" s="11"/>
      <c r="AO29" s="22" t="str">
        <f>IFERROR(TR/(RadSpec!G29*EF_cw*ED_con*ET_cw_o*(1/24)*IRA_cw),".")</f>
        <v>.</v>
      </c>
      <c r="AP29" s="22">
        <f>IFERROR(TR/(RadSpec!J29*EF_cw*(1/365)*ED_con*ET_cw_o*(1/24)*GSF_a),".")</f>
        <v>353.88532540909432</v>
      </c>
      <c r="AQ29" s="22">
        <f t="shared" si="41"/>
        <v>353.88532540909432</v>
      </c>
      <c r="AR29" s="43">
        <f t="shared" si="7"/>
        <v>5000</v>
      </c>
      <c r="AS29" s="43">
        <f t="shared" si="8"/>
        <v>0.22831050228310501</v>
      </c>
      <c r="AT29" s="10"/>
      <c r="AU29" s="10"/>
      <c r="AV29" s="10"/>
    </row>
    <row r="30" spans="1:48" x14ac:dyDescent="0.25">
      <c r="A30" s="23" t="s">
        <v>40</v>
      </c>
      <c r="B30" s="24" t="s">
        <v>289</v>
      </c>
      <c r="C30" s="2"/>
      <c r="D30" s="22">
        <f>IFERROR((TR/(RadSpec!I30*EF_cw*ED_con*IRS_cw*(1/1000)))*1,".")</f>
        <v>232.34065787257276</v>
      </c>
      <c r="E30" s="22">
        <f>IFERROR(IF(A30="H-3",(TR/(RadSpec!G30*EF_cw*ED_con*ET_cw_o*(1/24)*IRA_cw*(1/17)*1000))*1,(TR/(RadSpec!G30*EF_cw*ED_con*ET_cw_o*(1/24)*IRA_cw*(1/PEFsc)*1000))*1),".")</f>
        <v>5.4840445702422942</v>
      </c>
      <c r="F30" s="22">
        <f>IFERROR((TR/(RadSpec!F30*EF_cw*(1/365)*ED_con*def_acf!D30*ET_cw_o*(1/24)*RadSpec!V30))*1,".")</f>
        <v>40000.038369491675</v>
      </c>
      <c r="G30" s="22">
        <f t="shared" ref="G30" si="42">(IF(AND(ISNUMBER(D30),ISNUMBER(E30),ISNUMBER(F30)),1/((1/D30)+(1/E30)+(1/F30)),IF(AND(ISNUMBER(D30),ISNUMBER(E30),NOT(ISNUMBER(F30))), 1/((1/D30)+(1/E30)),IF(AND(ISNUMBER(D30),NOT(ISNUMBER(E30)),ISNUMBER(F30)),1/((1/D30)+(1/F30)),IF(AND(NOT(ISNUMBER(D30)),ISNUMBER(E30),ISNUMBER(F30)),1/((1/E30)+(1/F30)),IF(AND(ISNUMBER(D30),NOT(ISNUMBER(E30)),NOT(ISNUMBER(F30))),1/((1/D30)),IF(AND(NOT(ISNUMBER(D30)),NOT(ISNUMBER(E30)),ISNUMBER(F30)),1/((1/F30)),IF(AND(NOT(ISNUMBER(D30)),ISNUMBER(E30),NOT(ISNUMBER(F30))),1/((1/E30)),IF(AND(NOT(ISNUMBER(D30)),NOT(ISNUMBER(E30)),NOT(ISNUMBER(F30))),".")))))))))</f>
        <v>5.356869457786062</v>
      </c>
      <c r="H30" s="43">
        <f t="shared" si="1"/>
        <v>82.5</v>
      </c>
      <c r="I30" s="43">
        <f t="shared" si="2"/>
        <v>6.4422246467249371</v>
      </c>
      <c r="J30" s="43">
        <f>C_*EF_cw*(1/365)*ED_con*(ET_cw_i+ET_cw_o)*(1/24)*RadSpec!U30*def_acf!D30*1</f>
        <v>3.5157388516467582E-2</v>
      </c>
      <c r="K30" s="4"/>
      <c r="L30" s="4"/>
      <c r="M30" s="4"/>
      <c r="N30" s="4"/>
      <c r="O30" s="22">
        <f>IFERROR((TR/(RadSpec!I30*EF_cw*ED_con*IRS_cw*(1/1000)))*1,".")</f>
        <v>232.34065787257276</v>
      </c>
      <c r="P30" s="22">
        <f>IFERROR(IF(A30="H-3",(TR/(RadSpec!G30*EF_cw*ED_con*ET_cw_o*(1/24)*IRA_cw*(1/17)*1000))*1,(TR/(RadSpec!G30*EF_cw*ED_con*ET_cw_o*(1/24)*IRA_cw*(1/PEF__sc)*1000))*1),".")</f>
        <v>838.62266517674243</v>
      </c>
      <c r="Q30" s="22">
        <f>IFERROR((TR/(RadSpec!F30*EF_cw*(1/365)*ED_con*def_acf!D30*ET_cw_o*(1/24)*RadSpec!V30))*1,".")</f>
        <v>40000.038369491675</v>
      </c>
      <c r="R30" s="22">
        <f t="shared" ref="R30" si="43">(IF(AND(ISNUMBER(O30),ISNUMBER(P30),ISNUMBER(Q30)),1/((1/O30)+(1/P30)+(1/Q30)),IF(AND(ISNUMBER(O30),ISNUMBER(P30),NOT(ISNUMBER(Q30))), 1/((1/O30)+(1/P30)),IF(AND(ISNUMBER(O30),NOT(ISNUMBER(P30)),ISNUMBER(Q30)),1/((1/O30)+(1/Q30)),IF(AND(NOT(ISNUMBER(O30)),ISNUMBER(P30),ISNUMBER(Q30)),1/((1/P30)+(1/Q30)),IF(AND(ISNUMBER(O30),NOT(ISNUMBER(P30)),NOT(ISNUMBER(Q30))),1/((1/O30)),IF(AND(NOT(ISNUMBER(O30)),NOT(ISNUMBER(P30)),ISNUMBER(Q30)),1/((1/Q30)),IF(AND(NOT(ISNUMBER(O30)),ISNUMBER(P30),NOT(ISNUMBER(Q30))),1/((1/P30)),IF(AND(NOT(ISNUMBER(O30)),NOT(ISNUMBER(P30)),NOT(ISNUMBER(Q30))),".")))))))))</f>
        <v>181.11163642699253</v>
      </c>
      <c r="S30" s="43">
        <f t="shared" si="4"/>
        <v>82.5</v>
      </c>
      <c r="T30" s="43">
        <f t="shared" si="5"/>
        <v>4.2127942114117772E-2</v>
      </c>
      <c r="U30" s="43">
        <f>C_*EF_cw*(1/365)*ED_con*(ET_cw_i+ET_cw_o)*(1/24)*RadSpec!U30*def_acf!D30*1</f>
        <v>3.5157388516467582E-2</v>
      </c>
      <c r="V30" s="11"/>
      <c r="W30" s="11"/>
      <c r="X30" s="11"/>
      <c r="Y30" s="11"/>
      <c r="Z30" s="22">
        <f>IFERROR((TR/(RadSpec!F30*EF_cw*(1/365)*ED_con*def_acf!D30*ET_cw_o*(1/24)*RadSpec!V30))*1,".")</f>
        <v>40000.038369491675</v>
      </c>
      <c r="AA30" s="22">
        <f>IFERROR((TR/(RadSpec!M30*EF_cw*(1/365)*ED_con*def_acf!E30*ET_cw_o*(1/24)*RadSpec!R30))*1,".")</f>
        <v>137870.23332503121</v>
      </c>
      <c r="AB30" s="22">
        <f>IFERROR((TR/(RadSpec!N30*EF_cw*(1/365)*ED_con*def_acf!F30*ET_cw_o*(1/24)*RadSpec!X30))*1,".")</f>
        <v>58075.558753777506</v>
      </c>
      <c r="AC30" s="22">
        <f>IFERROR((TR/(RadSpec!O30*EF_cw*(1/365)*ED_con*def_acf!G30*ET_cw_o*(1/24)*RadSpec!Y30))*1,".")</f>
        <v>41078.335650627938</v>
      </c>
      <c r="AD30" s="22">
        <f>IFERROR((TR/(RadSpec!K30*EF_cw*(1/365)*ED_con*def_acf!C30*ET_cw_o*(1/24)*RadSpec!U30))*1,".")</f>
        <v>113375.93258034383</v>
      </c>
      <c r="AE30" s="43">
        <f>C_*EF_cw*(1/365)*ED_con*(ET_cw_i+ET_cw_o)*(1/24)*RadSpec!U30*def_acf!D30*1</f>
        <v>3.5157388516467582E-2</v>
      </c>
      <c r="AF30" s="43">
        <f>C_*EF_cw*(1/365)*ED_con*(ET_cw_i+ET_cw_o)*(1/24)*RadSpec!V30*def_acf!E30*1</f>
        <v>3.497686146087968E-2</v>
      </c>
      <c r="AG30" s="43">
        <f>C_*EF_cw*(1/365)*ED_con*(ET_cw_i+ET_cw_o)*(1/24)*RadSpec!W30*def_acf!F30*1</f>
        <v>3.4010392064241779E-2</v>
      </c>
      <c r="AH30" s="43">
        <f>C_*EF_cw*(1/365)*ED_con*(ET_cw_i+ET_cw_o)*(1/24)*RadSpec!X30*def_acf!G30*1</f>
        <v>3.5396977098155709E-2</v>
      </c>
      <c r="AI30" s="43">
        <f>C_*EF_cw*(1/365)*ED_con*(ET_cw_i+ET_cw_o)*(1/24)*RadSpec!T30*def_acf!C30*1</f>
        <v>2.4686073059360727E-2</v>
      </c>
      <c r="AJ30" s="11"/>
      <c r="AK30" s="11"/>
      <c r="AL30" s="11"/>
      <c r="AM30" s="11"/>
      <c r="AN30" s="11"/>
      <c r="AO30" s="22">
        <f>IFERROR(TR/(RadSpec!G30*EF_cw*ED_con*ET_cw_o*(1/24)*IRA_cw),".")</f>
        <v>7.065889418830594E-3</v>
      </c>
      <c r="AP30" s="22">
        <f>IFERROR(TR/(RadSpec!J30*EF_cw*(1/365)*ED_con*ET_cw_o*(1/24)*GSF_a),".")</f>
        <v>4671462.5770067247</v>
      </c>
      <c r="AQ30" s="22">
        <f t="shared" ref="AQ30" si="44">IFERROR(IF(AND(ISNUMBER(AO30),ISNUMBER(AP30)),1/((1/AO30)+(1/AP30)),IF(AND(ISNUMBER(AO30),NOT(ISNUMBER(AP30))),1/((1/AO30)),IF(AND(NOT(ISNUMBER(AO30)),ISNUMBER(AP30)),1/((1/AP30)),IF(AND(NOT(ISNUMBER(AO30)),NOT(ISNUMBER(AP30))),".")))),".")</f>
        <v>7.0658894081429783E-3</v>
      </c>
      <c r="AR30" s="43">
        <f t="shared" si="7"/>
        <v>5000</v>
      </c>
      <c r="AS30" s="43">
        <f t="shared" si="8"/>
        <v>0.22831050228310501</v>
      </c>
      <c r="AT30" s="10"/>
      <c r="AU30" s="10"/>
      <c r="AV30" s="10"/>
    </row>
    <row r="31" spans="1:48" x14ac:dyDescent="0.25">
      <c r="A31" s="26" t="s">
        <v>13</v>
      </c>
      <c r="B31" s="26" t="s">
        <v>289</v>
      </c>
      <c r="C31" s="110"/>
      <c r="D31" s="27">
        <f>1/SUM(1/D32,1/D33,1/D34,1/D35,1/D36,1/D37,1/D38,1/D41,1/D44)</f>
        <v>21.852159147482773</v>
      </c>
      <c r="E31" s="27">
        <f>1/SUM(1/E32,1/E33,1/E34,1/E35,1/E36,1/E37,1/E38,1/E41,1/E44)</f>
        <v>0.47883732000916984</v>
      </c>
      <c r="F31" s="27">
        <f>1/SUM(1/F32,1/F33,1/F34,1/F35,1/F36,1/F37,1/F38,1/F39,1/F40,1/F41,1/F42,1/F43,1/F44)</f>
        <v>25.101460334630886</v>
      </c>
      <c r="G31" s="28">
        <f>1/SUM(1/G32,1/G33,1/G34,1/G35,1/G36,1/G37,1/G38,1/G39,1/G40,1/G41,1/G42,1/G43,1/G44)</f>
        <v>0.45998322387392437</v>
      </c>
      <c r="H31" s="45"/>
      <c r="I31" s="45"/>
      <c r="J31" s="45"/>
      <c r="K31" s="46">
        <f>IFERROR(IF(SUM(H32:H44)&gt;0.01,1-EXP(-SUM(H32:H44)),SUM(H32:H44)),".")</f>
        <v>4.5762068327019004E-8</v>
      </c>
      <c r="L31" s="46">
        <f>IFERROR(IF(SUM(I32:I44)&gt;0.01,1-EXP(-SUM(I32:I44)),SUM(I32:I44)),".")</f>
        <v>2.0883919406717287E-6</v>
      </c>
      <c r="M31" s="46">
        <f>IFERROR(IF(SUM(J32:J44)&gt;0.01,1-EXP(-SUM(J32:J44)),SUM(J32:J44)),".")</f>
        <v>3.9838319630366831E-8</v>
      </c>
      <c r="N31" s="46">
        <f>IFERROR(IF(SUM(H32:J44)&gt;0.01,1-EXP(-SUM(H32:J44)),SUM(H32:J44)),".")</f>
        <v>2.1739923286291146E-6</v>
      </c>
      <c r="O31" s="27">
        <f>1/SUM(1/O32,1/O33,1/O34,1/O35,1/O36,1/O37,1/O38,1/O41,1/O44)</f>
        <v>21.852159147482773</v>
      </c>
      <c r="P31" s="27">
        <f>1/SUM(1/P32,1/P33,1/P34,1/P35,1/P36,1/P37,1/P38,1/P41,1/P44)</f>
        <v>73.22402733033168</v>
      </c>
      <c r="Q31" s="27">
        <f>1/SUM(1/Q32,1/Q33,1/Q34,1/Q35,1/Q36,1/Q37,1/Q38,1/Q39,1/Q40,1/Q41,1/Q42,1/Q43,1/Q44)</f>
        <v>25.101460334630886</v>
      </c>
      <c r="R31" s="28">
        <f>1/SUM(1/R32,1/R33,1/R34,1/R35,1/R36,1/R37,1/R38,1/R39,1/R40,1/R41,1/R42,1/R43,1/R44)</f>
        <v>10.074845276870672</v>
      </c>
      <c r="S31" s="45"/>
      <c r="T31" s="45"/>
      <c r="U31" s="45"/>
      <c r="V31" s="46">
        <f>IFERROR(IF(SUM(S32:S44)&gt;0.01,1-EXP(-SUM(S32:S44)),SUM(S32:S44)),".")</f>
        <v>4.5762068327019004E-8</v>
      </c>
      <c r="W31" s="46">
        <f>IFERROR(IF(SUM(T32:T44)&gt;0.01,1-EXP(-SUM(T32:T44)),SUM(T32:T44)),".")</f>
        <v>1.3656719473906468E-8</v>
      </c>
      <c r="X31" s="46">
        <f>IFERROR(IF(SUM(U32:U44)&gt;0.01,1-EXP(-SUM(U32:U44)),SUM(U32:U44)),".")</f>
        <v>3.9838319630366831E-8</v>
      </c>
      <c r="Y31" s="46">
        <f>IFERROR(IF(SUM(S32:U44)&gt;0.01,1-EXP(-SUM(S32:U44)),SUM(S32:U44)),".")</f>
        <v>9.9257107431292254E-8</v>
      </c>
      <c r="Z31" s="27">
        <f t="shared" ref="Z31:AD31" si="45">1/SUM(1/Z32,1/Z33,1/Z34,1/Z35,1/Z36,1/Z37,1/Z38,1/Z39,1/Z40,1/Z41,1/Z42,1/Z43,1/Z44)</f>
        <v>25.101460334630886</v>
      </c>
      <c r="AA31" s="27">
        <f t="shared" si="45"/>
        <v>140.3475357202073</v>
      </c>
      <c r="AB31" s="27">
        <f t="shared" si="45"/>
        <v>43.031659440548374</v>
      </c>
      <c r="AC31" s="27">
        <f t="shared" si="45"/>
        <v>26.478058844508368</v>
      </c>
      <c r="AD31" s="27">
        <f t="shared" si="45"/>
        <v>149.9849016841307</v>
      </c>
      <c r="AE31" s="45"/>
      <c r="AF31" s="37"/>
      <c r="AG31" s="37"/>
      <c r="AH31" s="37"/>
      <c r="AI31" s="37"/>
      <c r="AJ31" s="46">
        <f>IFERROR(IF(SUM(AE32:AE44)&gt;0.01,1-EXP(-SUM(AE32:AE44)),SUM(AE32:AE44)),".")</f>
        <v>3.9838319630366831E-8</v>
      </c>
      <c r="AK31" s="46">
        <f t="shared" ref="AK31:AN31" si="46">IFERROR(IF(SUM(AF32:AF44)&gt;0.01,1-EXP(-SUM(AF32:AF44)),SUM(AF32:AF44)),".")</f>
        <v>7.1289551858506731E-9</v>
      </c>
      <c r="AL31" s="46">
        <f t="shared" si="46"/>
        <v>2.323870408440973E-8</v>
      </c>
      <c r="AM31" s="46">
        <f t="shared" si="46"/>
        <v>3.7767119027586981E-8</v>
      </c>
      <c r="AN31" s="46">
        <f t="shared" si="46"/>
        <v>6.6557268317494186E-9</v>
      </c>
      <c r="AO31" s="27">
        <f>1/SUM(1/AO32,1/AO33,1/AO34,1/AO35,1/AO36,1/AO37,1/AO38,1/AO41,1/AO44)</f>
        <v>6.1695551694695809E-4</v>
      </c>
      <c r="AP31" s="27">
        <f t="shared" ref="AP31:AQ31" si="47">1/SUM(1/AP32,1/AP33,1/AP34,1/AP35,1/AP36,1/AP37,1/AP38,1/AP39,1/AP40,1/AP41,1/AP42,1/AP43,1/AP44)</f>
        <v>1982.0913414705515</v>
      </c>
      <c r="AQ31" s="28">
        <f t="shared" si="47"/>
        <v>6.169553249104039E-4</v>
      </c>
      <c r="AR31" s="45"/>
      <c r="AS31" s="45"/>
      <c r="AT31" s="46">
        <f>IFERROR(IF(SUM(AR32:AR44)&gt;0.01,1-EXP(-SUM(AR32:AR44)),SUM(AR32:AR44)),".")</f>
        <v>1.6208624001752361E-3</v>
      </c>
      <c r="AU31" s="46">
        <f>IFERROR(IF(SUM(AS32:AS44)&gt;0.01,1-EXP(-SUM(AS32:AS44)),SUM(AS32:AS44)),".")</f>
        <v>5.0451761686122954E-10</v>
      </c>
      <c r="AV31" s="46">
        <f>IFERROR(IF(SUM(AR32:AS44)&gt;0.01,1-EXP(-SUM(AR32:AS44)),SUM(AR32:AS44)),".")</f>
        <v>1.620862904692853E-3</v>
      </c>
    </row>
    <row r="32" spans="1:48" x14ac:dyDescent="0.25">
      <c r="A32" s="29" t="s">
        <v>290</v>
      </c>
      <c r="B32" s="24">
        <v>1</v>
      </c>
      <c r="C32" s="2"/>
      <c r="D32" s="30">
        <f>IFERROR(D3/$B32,0)</f>
        <v>133.17086487818196</v>
      </c>
      <c r="E32" s="30">
        <f>IFERROR(E3/$B32,0)</f>
        <v>4.1130334276817209</v>
      </c>
      <c r="F32" s="30">
        <f>IFERROR(F3/$B32,0)</f>
        <v>1469.7226594747758</v>
      </c>
      <c r="G32" s="30">
        <f>IF(AND(D32&lt;&gt;0,E32&lt;&gt;0,F32&lt;&gt;0),1/((1/D32)+(1/E32)+(1/F32)),IF(AND(D32&lt;&gt;0,E32&lt;&gt;0,F32=0), 1/((1/D32)+(1/E32)),IF(AND(D32&lt;&gt;0,E32=0,F32&lt;&gt;0),1/((1/D32)+(1/F32)),IF(AND(D32=0,E32&lt;&gt;0,F32&lt;&gt;0),1/((1/E32)+(1/F32)),IF(AND(D32&lt;&gt;0,E32=0,F32=0),1/((1/D32)),IF(AND(D32=0,E32&lt;&gt;0,F32=0),1/((1/E32)),IF(AND(D32=0,E32=0,F32&lt;&gt;0),1/((1/F32)),IF(AND(D32=0,E32=0,F32=0),0))))))))</f>
        <v>3.9790050402058799</v>
      </c>
      <c r="H32" s="38">
        <f>IFERROR(RadSpec!$I$3*H3,".")*$B$32</f>
        <v>7.5091499999999994E-9</v>
      </c>
      <c r="I32" s="38">
        <f>IFERROR(RadSpec!$G$3*I3,".")*$B$32</f>
        <v>2.4312955816739914E-7</v>
      </c>
      <c r="J32" s="38">
        <f>IFERROR(RadSpec!$F$3*J3,".")*$B$32</f>
        <v>6.8040047797681964E-10</v>
      </c>
      <c r="K32" s="47">
        <f t="shared" ref="K32:M44" si="48">IFERROR(IF(H32&gt;0.01,1-EXP(-H32),H32),".")</f>
        <v>7.5091499999999994E-9</v>
      </c>
      <c r="L32" s="47">
        <f t="shared" si="48"/>
        <v>2.4312955816739914E-7</v>
      </c>
      <c r="M32" s="47">
        <f t="shared" si="48"/>
        <v>6.8040047797681964E-10</v>
      </c>
      <c r="N32" s="47">
        <f>IFERROR(IF(SUM(H32:J32)&gt;0.01,1-EXP(-SUM(H32:J32)),SUM(H32:J32)),".")</f>
        <v>2.5131910864537595E-7</v>
      </c>
      <c r="O32" s="30">
        <f>IFERROR(O3/$B32,0)</f>
        <v>133.17086487818196</v>
      </c>
      <c r="P32" s="30">
        <f>IFERROR(P3/$B32,0)</f>
        <v>628.96699888255682</v>
      </c>
      <c r="Q32" s="30">
        <f>IFERROR(Q3/$B32,0)</f>
        <v>1469.7226594747758</v>
      </c>
      <c r="R32" s="30">
        <f>IF(AND(O32&lt;&gt;0,P32&lt;&gt;0,Q32&lt;&gt;0),1/((1/O32)+(1/P32)+(1/Q32)),IF(AND(O32&lt;&gt;0,P32&lt;&gt;0,Q32=0), 1/((1/O32)+(1/P32)),IF(AND(O32&lt;&gt;0,P32=0,Q32&lt;&gt;0),1/((1/O32)+(1/Q32)),IF(AND(O32=0,P32&lt;&gt;0,Q32&lt;&gt;0),1/((1/P32)+(1/Q32)),IF(AND(O32&lt;&gt;0,P32=0,Q32=0),1/((1/O32)),IF(AND(O32=0,P32&lt;&gt;0,Q32=0),1/((1/P32)),IF(AND(O32=0,P32=0,Q32&lt;&gt;0),1/((1/Q32)),IF(AND(O32=0,P32=0,Q32=0),0))))))))</f>
        <v>102.25514505797312</v>
      </c>
      <c r="S32" s="38">
        <f>IFERROR(RadSpec!$I$3*S3,".")*$B$32</f>
        <v>7.5091499999999994E-9</v>
      </c>
      <c r="T32" s="38">
        <f>IFERROR(RadSpec!$G$3*T3,".")*$B$32</f>
        <v>1.5899085353868047E-9</v>
      </c>
      <c r="U32" s="38">
        <f>IFERROR(RadSpec!$F$3*U3,".")*$B$32</f>
        <v>6.8040047797681964E-10</v>
      </c>
      <c r="V32" s="47">
        <f t="shared" ref="V32:V44" si="49">IFERROR(IF(S32&gt;0.01,1-EXP(-S32),S32),".")</f>
        <v>7.5091499999999994E-9</v>
      </c>
      <c r="W32" s="47">
        <f t="shared" ref="W32:W44" si="50">IFERROR(IF(T32&gt;0.01,1-EXP(-T32),T32),".")</f>
        <v>1.5899085353868047E-9</v>
      </c>
      <c r="X32" s="47">
        <f t="shared" ref="X32:X44" si="51">IFERROR(IF(U32&gt;0.01,1-EXP(-U32),U32),".")</f>
        <v>6.8040047797681964E-10</v>
      </c>
      <c r="Y32" s="47">
        <f>IFERROR(IF(SUM(S32:U32)&gt;0.01,1-EXP(-SUM(S32:U32)),SUM(S32:U32)),".")</f>
        <v>9.7794590133636241E-9</v>
      </c>
      <c r="Z32" s="30">
        <f t="shared" ref="Z32:AP32" si="52">IFERROR(Z3/$B32,0)</f>
        <v>1469.7226594747758</v>
      </c>
      <c r="AA32" s="30">
        <f t="shared" si="52"/>
        <v>3367.5386638197328</v>
      </c>
      <c r="AB32" s="30">
        <f t="shared" si="52"/>
        <v>1787.8539587521261</v>
      </c>
      <c r="AC32" s="30">
        <f t="shared" si="52"/>
        <v>1632.9956549095177</v>
      </c>
      <c r="AD32" s="30">
        <f t="shared" si="52"/>
        <v>2777.9254588047911</v>
      </c>
      <c r="AE32" s="38">
        <f>IFERROR(RadSpec!$F$3*AE3,".")*$B$32</f>
        <v>6.8040047797681964E-10</v>
      </c>
      <c r="AF32" s="38">
        <f>IFERROR(RadSpec!$M$3*AF3,".")*$B$32</f>
        <v>2.9695278950879794E-10</v>
      </c>
      <c r="AG32" s="38">
        <f>IFERROR(RadSpec!$N$3*AG3,".")*$B$32</f>
        <v>5.5932980157840899E-10</v>
      </c>
      <c r="AH32" s="38">
        <f>IFERROR(RadSpec!$O$3*AH3,".")*$B$32</f>
        <v>6.1237150080194715E-10</v>
      </c>
      <c r="AI32" s="38">
        <f>IFERROR(RadSpec!$K$3*AI3,".")*$B$32</f>
        <v>3.5998086155639764E-10</v>
      </c>
      <c r="AJ32" s="47">
        <f>IFERROR(IF(AE32&gt;0.01,1-EXP(-AE32),AE32),".")</f>
        <v>6.8040047797681964E-10</v>
      </c>
      <c r="AK32" s="47">
        <f t="shared" ref="AK32:AN44" si="53">IFERROR(IF(AF32&gt;0.01,1-EXP(-AF32),AF32),".")</f>
        <v>2.9695278950879794E-10</v>
      </c>
      <c r="AL32" s="47">
        <f t="shared" si="53"/>
        <v>5.5932980157840899E-10</v>
      </c>
      <c r="AM32" s="47">
        <f t="shared" si="53"/>
        <v>6.1237150080194715E-10</v>
      </c>
      <c r="AN32" s="47">
        <f t="shared" si="53"/>
        <v>3.5998086155639764E-10</v>
      </c>
      <c r="AO32" s="30">
        <f t="shared" si="52"/>
        <v>5.2994170641229464E-3</v>
      </c>
      <c r="AP32" s="30">
        <f t="shared" si="52"/>
        <v>75476.548276386311</v>
      </c>
      <c r="AQ32" s="30">
        <f>IFERROR(IF(AND(AO32&lt;&gt;0,AP32&lt;&gt;0),1/((1/AO32)+(1/AP32)),IF(AND(AO32&lt;&gt;0,AP32=0),1/((1/AO32)),IF(AND(AO32=0,AP32&lt;&gt;0),1/((1/AP32)),IF(AND(AO32=0,AP32=0),0)))),0)</f>
        <v>5.2994166920362533E-3</v>
      </c>
      <c r="AR32" s="38">
        <f>IFERROR(RadSpec!$G$3*AR3,".")*$B$32</f>
        <v>1.8870000000000001E-4</v>
      </c>
      <c r="AS32" s="38">
        <f>IFERROR(RadSpec!$J$3*AS3,".")*$B$32</f>
        <v>1.3249148547945205E-11</v>
      </c>
      <c r="AT32" s="47">
        <f>IFERROR(IF(AR32&gt;0.01,1-EXP(-AR32),AR32),".")</f>
        <v>1.8870000000000001E-4</v>
      </c>
      <c r="AU32" s="47">
        <f>IFERROR(IF(AS32&gt;0.01,1-EXP(-AS32),AS32),".")</f>
        <v>1.3249148547945205E-11</v>
      </c>
      <c r="AV32" s="47">
        <f>IFERROR(IF(SUM(AR32:AS32)&gt;0.01,1-EXP(-SUM(AR32:AS32)),SUM(AR32:AS32)),".")</f>
        <v>1.8870001324914856E-4</v>
      </c>
    </row>
    <row r="33" spans="1:48" x14ac:dyDescent="0.25">
      <c r="A33" s="29" t="s">
        <v>291</v>
      </c>
      <c r="B33" s="24">
        <v>1</v>
      </c>
      <c r="C33" s="2"/>
      <c r="D33" s="30">
        <f t="shared" ref="D33:F34" si="54">IFERROR(D13/$B33,0)</f>
        <v>257.95301385852571</v>
      </c>
      <c r="E33" s="30">
        <f t="shared" si="54"/>
        <v>5.413282704819812</v>
      </c>
      <c r="F33" s="30">
        <f t="shared" si="54"/>
        <v>811.23975052342564</v>
      </c>
      <c r="G33" s="30">
        <f>IF(AND(D33&lt;&gt;0,E33&lt;&gt;0,F33&lt;&gt;0),1/((1/D33)+(1/E33)+(1/F33)),IF(AND(D33&lt;&gt;0,E33&lt;&gt;0,F33=0), 1/((1/D33)+(1/E33)),IF(AND(D33&lt;&gt;0,E33=0,F33&lt;&gt;0),1/((1/D33)+(1/F33)),IF(AND(D33=0,E33&lt;&gt;0,F33&lt;&gt;0),1/((1/E33)+(1/F33)),IF(AND(D33&lt;&gt;0,E33=0,F33=0),1/((1/D33)),IF(AND(D33=0,E33&lt;&gt;0,F33=0),1/((1/E33)),IF(AND(D33=0,E33=0,F33&lt;&gt;0),1/((1/F33)),IF(AND(D33=0,E33=0,F33=0),0))))))))</f>
        <v>5.2675896576956145</v>
      </c>
      <c r="H33" s="38">
        <f>IFERROR(RadSpec!$I$13*H13,".")*$B$33</f>
        <v>3.8766749999999995E-9</v>
      </c>
      <c r="I33" s="38">
        <f>IFERROR(RadSpec!$G$13*I13,".")*$B$33</f>
        <v>1.8473079174483757E-7</v>
      </c>
      <c r="J33" s="38">
        <f>IFERROR(RadSpec!$F$13*J13,".")*$B$33</f>
        <v>1.2326812133586686E-9</v>
      </c>
      <c r="K33" s="47">
        <f t="shared" si="48"/>
        <v>3.8766749999999995E-9</v>
      </c>
      <c r="L33" s="47">
        <f t="shared" si="48"/>
        <v>1.8473079174483757E-7</v>
      </c>
      <c r="M33" s="47">
        <f t="shared" si="48"/>
        <v>1.2326812133586686E-9</v>
      </c>
      <c r="N33" s="47">
        <f t="shared" ref="N33:N44" si="55">IFERROR(IF(SUM(H33:J33)&gt;0.01,1-EXP(-SUM(H33:J33)),SUM(H33:J33)),".")</f>
        <v>1.8984014795819624E-7</v>
      </c>
      <c r="O33" s="30">
        <f t="shared" ref="O33:Q34" si="56">IFERROR(O13/$B33,0)</f>
        <v>257.95301385852571</v>
      </c>
      <c r="P33" s="30">
        <f t="shared" si="56"/>
        <v>827.80172756155866</v>
      </c>
      <c r="Q33" s="30">
        <f t="shared" si="56"/>
        <v>811.23975052342564</v>
      </c>
      <c r="R33" s="30">
        <f>IF(AND(O33&lt;&gt;0,P33&lt;&gt;0,Q33&lt;&gt;0),1/((1/O33)+(1/P33)+(1/Q33)),IF(AND(O33&lt;&gt;0,P33&lt;&gt;0,Q33=0), 1/((1/O33)+(1/P33)),IF(AND(O33&lt;&gt;0,P33=0,Q33&lt;&gt;0),1/((1/O33)+(1/Q33)),IF(AND(O33=0,P33&lt;&gt;0,Q33&lt;&gt;0),1/((1/P33)+(1/Q33)),IF(AND(O33&lt;&gt;0,P33=0,Q33=0),1/((1/O33)),IF(AND(O33=0,P33&lt;&gt;0,Q33=0),1/((1/P33)),IF(AND(O33=0,P33=0,Q33&lt;&gt;0),1/((1/Q33)),IF(AND(O33=0,P33=0,Q33=0),0))))))))</f>
        <v>158.29359621103077</v>
      </c>
      <c r="S33" s="38">
        <f>IFERROR(RadSpec!$I$13*S13,".")*$B$33</f>
        <v>3.8766749999999995E-9</v>
      </c>
      <c r="T33" s="38">
        <f>IFERROR(RadSpec!$G$13*T13,".")*$B$33</f>
        <v>1.2080187401223271E-9</v>
      </c>
      <c r="U33" s="38">
        <f>IFERROR(RadSpec!$F$13*U13,".")*$B$33</f>
        <v>1.2326812133586686E-9</v>
      </c>
      <c r="V33" s="47">
        <f t="shared" si="49"/>
        <v>3.8766749999999995E-9</v>
      </c>
      <c r="W33" s="47">
        <f t="shared" si="50"/>
        <v>1.2080187401223271E-9</v>
      </c>
      <c r="X33" s="47">
        <f t="shared" si="51"/>
        <v>1.2326812133586686E-9</v>
      </c>
      <c r="Y33" s="47">
        <f t="shared" ref="Y33:Y44" si="57">IFERROR(IF(SUM(S33:U33)&gt;0.01,1-EXP(-SUM(S33:U33)),SUM(S33:U33)),".")</f>
        <v>6.3173749534809952E-9</v>
      </c>
      <c r="Z33" s="30">
        <f t="shared" ref="Z33:AP34" si="58">IFERROR(Z13/$B33,0)</f>
        <v>811.23975052342564</v>
      </c>
      <c r="AA33" s="30">
        <f t="shared" si="58"/>
        <v>2357.1747228277782</v>
      </c>
      <c r="AB33" s="30">
        <f t="shared" si="58"/>
        <v>1009.2207792006988</v>
      </c>
      <c r="AC33" s="30">
        <f t="shared" si="58"/>
        <v>802.027743045389</v>
      </c>
      <c r="AD33" s="30">
        <f t="shared" si="58"/>
        <v>2310.2532799087667</v>
      </c>
      <c r="AE33" s="38">
        <f>IFERROR(RadSpec!$F$13*AE13,".")*$B$33</f>
        <v>1.2326812133586686E-9</v>
      </c>
      <c r="AF33" s="38">
        <f>IFERROR(RadSpec!$M$13*AF13,".")*$B$33</f>
        <v>4.2423668908189917E-10</v>
      </c>
      <c r="AG33" s="38">
        <f>IFERROR(RadSpec!$N$13*AG13,".")*$B$33</f>
        <v>9.9086346675501324E-10</v>
      </c>
      <c r="AH33" s="38">
        <f>IFERROR(RadSpec!$O$13*AH13,".")*$B$33</f>
        <v>1.2468396619334986E-9</v>
      </c>
      <c r="AI33" s="38">
        <f>IFERROR(RadSpec!$K$13*AI13,".")*$B$33</f>
        <v>4.3285297274396267E-10</v>
      </c>
      <c r="AJ33" s="47">
        <f t="shared" ref="AJ33:AJ44" si="59">IFERROR(IF(AE33&gt;0.01,1-EXP(-AE33),AE33),".")</f>
        <v>1.2326812133586686E-9</v>
      </c>
      <c r="AK33" s="47">
        <f t="shared" si="53"/>
        <v>4.2423668908189917E-10</v>
      </c>
      <c r="AL33" s="47">
        <f t="shared" si="53"/>
        <v>9.9086346675501324E-10</v>
      </c>
      <c r="AM33" s="47">
        <f t="shared" si="53"/>
        <v>1.2468396619334986E-9</v>
      </c>
      <c r="AN33" s="47">
        <f t="shared" si="53"/>
        <v>4.3285297274396267E-10</v>
      </c>
      <c r="AO33" s="30">
        <f t="shared" si="58"/>
        <v>6.9747166521360064E-3</v>
      </c>
      <c r="AP33" s="30">
        <f t="shared" si="58"/>
        <v>57095.65371897108</v>
      </c>
      <c r="AQ33" s="30">
        <f t="shared" ref="AQ33:AQ44" si="60">IFERROR(IF(AND(AO33&lt;&gt;0,AP33&lt;&gt;0),1/((1/AO33)+(1/AP33)),IF(AND(AO33&lt;&gt;0,AP33=0),1/((1/AO33)),IF(AND(AO33=0,AP33&lt;&gt;0),1/((1/AP33)),IF(AND(AO33=0,AP33=0),0)))),0)</f>
        <v>6.9747158001155244E-3</v>
      </c>
      <c r="AR33" s="38">
        <f>IFERROR(RadSpec!$G$13*AR13,".")*$B$33</f>
        <v>1.43375E-4</v>
      </c>
      <c r="AS33" s="38">
        <f>IFERROR(RadSpec!$J$13*AS13,".")*$B$33</f>
        <v>1.7514467999999997E-11</v>
      </c>
      <c r="AT33" s="47">
        <f t="shared" ref="AT33:AU44" si="61">IFERROR(IF(AR33&gt;0.01,1-EXP(-AR33),AR33),".")</f>
        <v>1.43375E-4</v>
      </c>
      <c r="AU33" s="47">
        <f t="shared" si="61"/>
        <v>1.7514467999999997E-11</v>
      </c>
      <c r="AV33" s="47">
        <f t="shared" ref="AV33:AV44" si="62">IFERROR(IF(SUM(AR33:AS33)&gt;0.01,1-EXP(-SUM(AR33:AS33)),SUM(AR33:AS33)),".")</f>
        <v>1.4337501751446801E-4</v>
      </c>
    </row>
    <row r="34" spans="1:48" x14ac:dyDescent="0.25">
      <c r="A34" s="29" t="s">
        <v>292</v>
      </c>
      <c r="B34" s="24">
        <v>1</v>
      </c>
      <c r="C34" s="2"/>
      <c r="D34" s="30">
        <f t="shared" si="54"/>
        <v>4693.4144355347798</v>
      </c>
      <c r="E34" s="30">
        <f t="shared" si="54"/>
        <v>10158.097085315629</v>
      </c>
      <c r="F34" s="30">
        <f t="shared" si="54"/>
        <v>67.344359831758794</v>
      </c>
      <c r="G34" s="30">
        <f>IF(AND(D34&lt;&gt;0,E34&lt;&gt;0,F34&lt;&gt;0),1/((1/D34)+(1/E34)+(1/F34)),IF(AND(D34&lt;&gt;0,E34&lt;&gt;0,F34=0), 1/((1/D34)+(1/E34)),IF(AND(D34&lt;&gt;0,E34=0,F34&lt;&gt;0),1/((1/D34)+(1/F34)),IF(AND(D34=0,E34&lt;&gt;0,F34&lt;&gt;0),1/((1/E34)+(1/F34)),IF(AND(D34&lt;&gt;0,E34=0,F34=0),1/((1/D34)),IF(AND(D34=0,E34&lt;&gt;0,F34=0),1/((1/E34)),IF(AND(D34=0,E34=0,F34&lt;&gt;0),1/((1/F34)),IF(AND(D34=0,E34=0,F34=0),0))))))))</f>
        <v>65.96061716641303</v>
      </c>
      <c r="H34" s="38">
        <f>IFERROR(RadSpec!$I$14*H14,".")*$B$34</f>
        <v>2.130645E-10</v>
      </c>
      <c r="I34" s="38">
        <f>IFERROR(RadSpec!$G$14*I14,".")*$B$33</f>
        <v>9.844363482660376E-11</v>
      </c>
      <c r="J34" s="38">
        <f>IFERROR(RadSpec!$F$14*J14,".")*$B$33</f>
        <v>1.4849053469336148E-8</v>
      </c>
      <c r="K34" s="47">
        <f t="shared" si="48"/>
        <v>2.130645E-10</v>
      </c>
      <c r="L34" s="47">
        <f t="shared" si="48"/>
        <v>9.844363482660376E-11</v>
      </c>
      <c r="M34" s="47">
        <f t="shared" si="48"/>
        <v>1.4849053469336148E-8</v>
      </c>
      <c r="N34" s="47">
        <f t="shared" si="55"/>
        <v>1.5160561604162752E-8</v>
      </c>
      <c r="O34" s="30">
        <f t="shared" si="56"/>
        <v>4693.4144355347798</v>
      </c>
      <c r="P34" s="30">
        <f t="shared" si="56"/>
        <v>1553380.9657632154</v>
      </c>
      <c r="Q34" s="30">
        <f t="shared" si="56"/>
        <v>67.344359831758794</v>
      </c>
      <c r="R34" s="30">
        <f>IF(AND(O34&lt;&gt;0,P34&lt;&gt;0,Q34&lt;&gt;0),1/((1/O34)+(1/P34)+(1/Q34)),IF(AND(O34&lt;&gt;0,P34&lt;&gt;0,Q34=0), 1/((1/O34)+(1/P34)),IF(AND(O34&lt;&gt;0,P34=0,Q34&lt;&gt;0),1/((1/O34)+(1/Q34)),IF(AND(O34=0,P34&lt;&gt;0,Q34&lt;&gt;0),1/((1/P34)+(1/Q34)),IF(AND(O34&lt;&gt;0,P34=0,Q34=0),1/((1/O34)),IF(AND(O34=0,P34&lt;&gt;0,Q34=0),1/((1/P34)),IF(AND(O34=0,P34=0,Q34&lt;&gt;0),1/((1/Q34)),IF(AND(O34=0,P34=0,Q34=0),0))))))))</f>
        <v>66.388887918610052</v>
      </c>
      <c r="S34" s="38">
        <f>IFERROR(RadSpec!$I$14*S14,".")*$B$34</f>
        <v>2.130645E-10</v>
      </c>
      <c r="T34" s="38">
        <f>IFERROR(RadSpec!$G$14*T14,".")*$B$33</f>
        <v>6.4375708344583364E-13</v>
      </c>
      <c r="U34" s="38">
        <f>IFERROR(RadSpec!$F$14*U14,".")*$B$33</f>
        <v>1.4849053469336148E-8</v>
      </c>
      <c r="V34" s="47">
        <f t="shared" si="49"/>
        <v>2.130645E-10</v>
      </c>
      <c r="W34" s="47">
        <f t="shared" si="50"/>
        <v>6.4375708344583364E-13</v>
      </c>
      <c r="X34" s="47">
        <f t="shared" si="51"/>
        <v>1.4849053469336148E-8</v>
      </c>
      <c r="Y34" s="47">
        <f t="shared" si="57"/>
        <v>1.5062761726419595E-8</v>
      </c>
      <c r="Z34" s="30">
        <f t="shared" si="58"/>
        <v>67.344359831758794</v>
      </c>
      <c r="AA34" s="30">
        <f t="shared" si="58"/>
        <v>372.83078419952261</v>
      </c>
      <c r="AB34" s="30">
        <f t="shared" si="58"/>
        <v>108.80402836806047</v>
      </c>
      <c r="AC34" s="30">
        <f t="shared" si="58"/>
        <v>67.064572791186464</v>
      </c>
      <c r="AD34" s="30">
        <f t="shared" si="58"/>
        <v>406.75018242093785</v>
      </c>
      <c r="AE34" s="38">
        <f>IFERROR(RadSpec!$F$14*AE14,".")*$B$33</f>
        <v>1.4849053469336148E-8</v>
      </c>
      <c r="AF34" s="38">
        <f>IFERROR(RadSpec!$M$14*AF14,".")*$B$33</f>
        <v>2.682181950578534E-9</v>
      </c>
      <c r="AG34" s="38">
        <f>IFERROR(RadSpec!$N$14*AG14,".")*$B$33</f>
        <v>9.1908361758189366E-9</v>
      </c>
      <c r="AH34" s="38">
        <f>IFERROR(RadSpec!$O$14*AH14,".")*$B$33</f>
        <v>1.4911002312854793E-8</v>
      </c>
      <c r="AI34" s="38">
        <f>IFERROR(RadSpec!$K$14*AI14,".")*$B$33</f>
        <v>2.4585114972735756E-9</v>
      </c>
      <c r="AJ34" s="47">
        <f t="shared" si="59"/>
        <v>1.4849053469336148E-8</v>
      </c>
      <c r="AK34" s="47">
        <f t="shared" si="53"/>
        <v>2.682181950578534E-9</v>
      </c>
      <c r="AL34" s="47">
        <f t="shared" si="53"/>
        <v>9.1908361758189366E-9</v>
      </c>
      <c r="AM34" s="47">
        <f t="shared" si="53"/>
        <v>1.4911002312854793E-8</v>
      </c>
      <c r="AN34" s="47">
        <f t="shared" si="53"/>
        <v>2.4585114972735756E-9</v>
      </c>
      <c r="AO34" s="30">
        <f t="shared" si="58"/>
        <v>13.08814868136902</v>
      </c>
      <c r="AP34" s="30">
        <f t="shared" si="58"/>
        <v>5131.5792740580027</v>
      </c>
      <c r="AQ34" s="30">
        <f t="shared" si="60"/>
        <v>13.054852139176909</v>
      </c>
      <c r="AR34" s="38">
        <f>IFERROR(RadSpec!$G$14*AR14,".")*$B$33</f>
        <v>7.6405000000000002E-8</v>
      </c>
      <c r="AS34" s="38">
        <f>IFERROR(RadSpec!$J$14*AS14,".")*$B$33</f>
        <v>1.9487178246575343E-10</v>
      </c>
      <c r="AT34" s="47">
        <f t="shared" si="61"/>
        <v>7.6405000000000002E-8</v>
      </c>
      <c r="AU34" s="47">
        <f t="shared" si="61"/>
        <v>1.9487178246575343E-10</v>
      </c>
      <c r="AV34" s="47">
        <f t="shared" si="62"/>
        <v>7.6599871782465749E-8</v>
      </c>
    </row>
    <row r="35" spans="1:48" x14ac:dyDescent="0.25">
      <c r="A35" s="29" t="s">
        <v>293</v>
      </c>
      <c r="B35" s="24">
        <v>1</v>
      </c>
      <c r="C35" s="2"/>
      <c r="D35" s="30">
        <f>IFERROR(D30/$B35,0)</f>
        <v>232.34065787257276</v>
      </c>
      <c r="E35" s="30">
        <f>IFERROR(E30/$B35,0)</f>
        <v>5.4840445702422942</v>
      </c>
      <c r="F35" s="30">
        <f>IFERROR(F30/$B35,0)</f>
        <v>40000.038369491675</v>
      </c>
      <c r="G35" s="30">
        <f t="shared" ref="G35:G61" si="63">IF(AND(D35&lt;&gt;0,E35&lt;&gt;0,F35&lt;&gt;0),1/((1/D35)+(1/E35)+(1/F35)),IF(AND(D35&lt;&gt;0,E35&lt;&gt;0,F35=0), 1/((1/D35)+(1/E35)),IF(AND(D35&lt;&gt;0,E35=0,F35&lt;&gt;0),1/((1/D35)+(1/F35)),IF(AND(D35=0,E35&lt;&gt;0,F35&lt;&gt;0),1/((1/E35)+(1/F35)),IF(AND(D35&lt;&gt;0,E35=0,F35=0),1/((1/D35)),IF(AND(D35=0,E35&lt;&gt;0,F35=0),1/((1/E35)),IF(AND(D35=0,E35=0,F35&lt;&gt;0),1/((1/F35)),IF(AND(D35=0,E35=0,F35=0),0))))))))</f>
        <v>5.356869457786062</v>
      </c>
      <c r="H35" s="38">
        <f>IFERROR(RadSpec!$I$30*H30,".")*$B$35</f>
        <v>4.3040249999999997E-9</v>
      </c>
      <c r="I35" s="38">
        <f>IFERROR(RadSpec!$G$30*I30,".")*$B$35</f>
        <v>1.8234716862554935E-7</v>
      </c>
      <c r="J35" s="38">
        <f>IFERROR(RadSpec!$F$30*J30,".")*$B$35</f>
        <v>2.4999976019090702E-11</v>
      </c>
      <c r="K35" s="47">
        <f t="shared" si="48"/>
        <v>4.3040249999999997E-9</v>
      </c>
      <c r="L35" s="47">
        <f t="shared" si="48"/>
        <v>1.8234716862554935E-7</v>
      </c>
      <c r="M35" s="47">
        <f t="shared" si="48"/>
        <v>2.4999976019090702E-11</v>
      </c>
      <c r="N35" s="47">
        <f t="shared" si="55"/>
        <v>1.8667619360156845E-7</v>
      </c>
      <c r="O35" s="30">
        <f>IFERROR(O30/$B35,0)</f>
        <v>232.34065787257276</v>
      </c>
      <c r="P35" s="30">
        <f>IFERROR(P30/$B35,0)</f>
        <v>838.62266517674243</v>
      </c>
      <c r="Q35" s="30">
        <f>IFERROR(Q30/$B35,0)</f>
        <v>40000.038369491675</v>
      </c>
      <c r="R35" s="30">
        <f t="shared" ref="R35:R44" si="64">IF(AND(O35&lt;&gt;0,P35&lt;&gt;0,Q35&lt;&gt;0),1/((1/O35)+(1/P35)+(1/Q35)),IF(AND(O35&lt;&gt;0,P35&lt;&gt;0,Q35=0), 1/((1/O35)+(1/P35)),IF(AND(O35&lt;&gt;0,P35=0,Q35&lt;&gt;0),1/((1/O35)+(1/Q35)),IF(AND(O35=0,P35&lt;&gt;0,Q35&lt;&gt;0),1/((1/P35)+(1/Q35)),IF(AND(O35&lt;&gt;0,P35=0,Q35=0),1/((1/O35)),IF(AND(O35=0,P35&lt;&gt;0,Q35=0),1/((1/P35)),IF(AND(O35=0,P35=0,Q35&lt;&gt;0),1/((1/Q35)),IF(AND(O35=0,P35=0,Q35=0),0))))))))</f>
        <v>181.11163642699253</v>
      </c>
      <c r="S35" s="38">
        <f>IFERROR(RadSpec!$I$30*S30,".")*$B$35</f>
        <v>4.3040249999999997E-9</v>
      </c>
      <c r="T35" s="38">
        <f>IFERROR(RadSpec!$G$30*T30,".")*$B$35</f>
        <v>1.1924314015401036E-9</v>
      </c>
      <c r="U35" s="38">
        <f>IFERROR(RadSpec!$F$30*U30,".")*$B$35</f>
        <v>2.4999976019090702E-11</v>
      </c>
      <c r="V35" s="47">
        <f t="shared" si="49"/>
        <v>4.3040249999999997E-9</v>
      </c>
      <c r="W35" s="47">
        <f t="shared" si="50"/>
        <v>1.1924314015401036E-9</v>
      </c>
      <c r="X35" s="47">
        <f t="shared" si="51"/>
        <v>2.4999976019090702E-11</v>
      </c>
      <c r="Y35" s="47">
        <f t="shared" si="57"/>
        <v>5.521456377559194E-9</v>
      </c>
      <c r="Z35" s="30">
        <f t="shared" ref="Z35:AP35" si="65">IFERROR(Z30/$B35,0)</f>
        <v>40000.038369491675</v>
      </c>
      <c r="AA35" s="30">
        <f t="shared" si="65"/>
        <v>137870.23332503121</v>
      </c>
      <c r="AB35" s="30">
        <f t="shared" si="65"/>
        <v>58075.558753777506</v>
      </c>
      <c r="AC35" s="30">
        <f t="shared" si="65"/>
        <v>41078.335650627938</v>
      </c>
      <c r="AD35" s="30">
        <f t="shared" si="65"/>
        <v>113375.93258034383</v>
      </c>
      <c r="AE35" s="38">
        <f>IFERROR(RadSpec!$F$30*AE30,".")*$B$35</f>
        <v>2.4999976019090702E-11</v>
      </c>
      <c r="AF35" s="38">
        <f>IFERROR(RadSpec!$M$30*AF30,".")*$B$35</f>
        <v>7.2531972702366028E-12</v>
      </c>
      <c r="AG35" s="38">
        <f>IFERROR(RadSpec!$N$30*AG30,".")*$B$35</f>
        <v>1.7218947547964064E-11</v>
      </c>
      <c r="AH35" s="38">
        <f>IFERROR(RadSpec!$O$30*AH30,".")*$B$35</f>
        <v>2.4343732143994828E-11</v>
      </c>
      <c r="AI35" s="38">
        <f>IFERROR(RadSpec!$K$30*AI30,".")*$B$35</f>
        <v>8.8202141075342445E-12</v>
      </c>
      <c r="AJ35" s="47">
        <f t="shared" si="59"/>
        <v>2.4999976019090702E-11</v>
      </c>
      <c r="AK35" s="47">
        <f t="shared" si="53"/>
        <v>7.2531972702366028E-12</v>
      </c>
      <c r="AL35" s="47">
        <f t="shared" si="53"/>
        <v>1.7218947547964064E-11</v>
      </c>
      <c r="AM35" s="47">
        <f t="shared" si="53"/>
        <v>2.4343732143994828E-11</v>
      </c>
      <c r="AN35" s="47">
        <f t="shared" si="53"/>
        <v>8.8202141075342445E-12</v>
      </c>
      <c r="AO35" s="30">
        <f t="shared" si="65"/>
        <v>7.065889418830594E-3</v>
      </c>
      <c r="AP35" s="30">
        <f t="shared" si="65"/>
        <v>4671462.5770067247</v>
      </c>
      <c r="AQ35" s="30">
        <f t="shared" si="60"/>
        <v>7.0658894081429783E-3</v>
      </c>
      <c r="AR35" s="38">
        <f>IFERROR(RadSpec!$G$30*AR30,".")*$B$35</f>
        <v>1.4152500000000001E-4</v>
      </c>
      <c r="AS35" s="38">
        <f>IFERROR(RadSpec!$J$30*AS30,".")*$B$35</f>
        <v>2.1406571999999998E-13</v>
      </c>
      <c r="AT35" s="47">
        <f t="shared" si="61"/>
        <v>1.4152500000000001E-4</v>
      </c>
      <c r="AU35" s="47">
        <f t="shared" si="61"/>
        <v>2.1406571999999998E-13</v>
      </c>
      <c r="AV35" s="47">
        <f t="shared" si="62"/>
        <v>1.4152500021406573E-4</v>
      </c>
    </row>
    <row r="36" spans="1:48" x14ac:dyDescent="0.25">
      <c r="A36" s="29" t="s">
        <v>294</v>
      </c>
      <c r="B36" s="24">
        <v>1</v>
      </c>
      <c r="C36" s="2"/>
      <c r="D36" s="30">
        <f>IFERROR(D26/$B36,0)</f>
        <v>61.579008947429998</v>
      </c>
      <c r="E36" s="30">
        <f>IFERROR(E26/$B36,0)</f>
        <v>0.88883349496511765</v>
      </c>
      <c r="F36" s="30">
        <f>IFERROR(F26/$B36,0)</f>
        <v>218.73414757792631</v>
      </c>
      <c r="G36" s="30">
        <f t="shared" si="63"/>
        <v>0.87269083765041178</v>
      </c>
      <c r="H36" s="38">
        <f>IFERROR(RadSpec!$I$26*H26,".")*$B$37</f>
        <v>1.62393E-8</v>
      </c>
      <c r="I36" s="38">
        <f>IFERROR(RadSpec!$G$26*I26,".")*$B$37</f>
        <v>1.1250701123040431E-6</v>
      </c>
      <c r="J36" s="38">
        <f>IFERROR(RadSpec!$F$26*J26,".")*$B$37</f>
        <v>4.5717598787072766E-9</v>
      </c>
      <c r="K36" s="47">
        <f t="shared" si="48"/>
        <v>1.62393E-8</v>
      </c>
      <c r="L36" s="47">
        <f t="shared" si="48"/>
        <v>1.1250701123040431E-6</v>
      </c>
      <c r="M36" s="47">
        <f t="shared" si="48"/>
        <v>4.5717598787072766E-9</v>
      </c>
      <c r="N36" s="47">
        <f t="shared" si="55"/>
        <v>1.1458811721827503E-6</v>
      </c>
      <c r="O36" s="30">
        <f>IFERROR(O26/$B36,0)</f>
        <v>61.579008947429998</v>
      </c>
      <c r="P36" s="30">
        <f>IFERROR(P26/$B36,0)</f>
        <v>135.92083450428137</v>
      </c>
      <c r="Q36" s="30">
        <f>IFERROR(Q26/$B36,0)</f>
        <v>218.73414757792631</v>
      </c>
      <c r="R36" s="30">
        <f t="shared" si="64"/>
        <v>35.500920504154216</v>
      </c>
      <c r="S36" s="38">
        <f>IFERROR(RadSpec!$I$26*S26,".")*$B$37</f>
        <v>1.62393E-8</v>
      </c>
      <c r="T36" s="38">
        <f>IFERROR(RadSpec!$G$26*T26,".")*$B$37</f>
        <v>7.3572238108095279E-9</v>
      </c>
      <c r="U36" s="38">
        <f>IFERROR(RadSpec!$F$26*U26,".")*$B$37</f>
        <v>4.5717598787072766E-9</v>
      </c>
      <c r="V36" s="47">
        <f t="shared" si="49"/>
        <v>1.62393E-8</v>
      </c>
      <c r="W36" s="47">
        <f t="shared" si="50"/>
        <v>7.3572238108095279E-9</v>
      </c>
      <c r="X36" s="47">
        <f t="shared" si="51"/>
        <v>4.5717598787072766E-9</v>
      </c>
      <c r="Y36" s="47">
        <f t="shared" si="57"/>
        <v>2.8168283689516807E-8</v>
      </c>
      <c r="Z36" s="30">
        <f t="shared" ref="Z36:AP36" si="66">IFERROR(Z26/$B36,0)</f>
        <v>218.73414757792631</v>
      </c>
      <c r="AA36" s="30">
        <f t="shared" si="66"/>
        <v>750.89767982552655</v>
      </c>
      <c r="AB36" s="30">
        <f t="shared" si="66"/>
        <v>296.13081041040209</v>
      </c>
      <c r="AC36" s="30">
        <f t="shared" si="66"/>
        <v>213.81505596785323</v>
      </c>
      <c r="AD36" s="30">
        <f t="shared" si="66"/>
        <v>700.96649419528887</v>
      </c>
      <c r="AE36" s="38">
        <f>IFERROR(RadSpec!$F$26*AE26,".")*$B$37</f>
        <v>4.5717598787072766E-9</v>
      </c>
      <c r="AF36" s="38">
        <f>IFERROR(RadSpec!$M$26*AF26,".")*$B$37</f>
        <v>1.3317393659178081E-9</v>
      </c>
      <c r="AG36" s="38">
        <f>IFERROR(RadSpec!$N$26*AG26,".")*$B$37</f>
        <v>3.376886041050976E-9</v>
      </c>
      <c r="AH36" s="38">
        <f>IFERROR(RadSpec!$O$26*AH26,".")*$B$37</f>
        <v>4.676939121398207E-9</v>
      </c>
      <c r="AI36" s="38">
        <f>IFERROR(RadSpec!$K$26*AI26,".")*$B$37</f>
        <v>1.4266017110389883E-9</v>
      </c>
      <c r="AJ36" s="47">
        <f t="shared" si="59"/>
        <v>4.5717598787072766E-9</v>
      </c>
      <c r="AK36" s="47">
        <f t="shared" si="53"/>
        <v>1.3317393659178081E-9</v>
      </c>
      <c r="AL36" s="47">
        <f t="shared" si="53"/>
        <v>3.376886041050976E-9</v>
      </c>
      <c r="AM36" s="47">
        <f t="shared" si="53"/>
        <v>4.676939121398207E-9</v>
      </c>
      <c r="AN36" s="47">
        <f t="shared" si="53"/>
        <v>1.4266017110389883E-9</v>
      </c>
      <c r="AO36" s="30">
        <f t="shared" si="66"/>
        <v>1.1452130096197893E-3</v>
      </c>
      <c r="AP36" s="30">
        <f t="shared" si="66"/>
        <v>14596.048440997663</v>
      </c>
      <c r="AQ36" s="30">
        <f t="shared" si="60"/>
        <v>1.1452129197658306E-3</v>
      </c>
      <c r="AR36" s="38">
        <f>IFERROR(RadSpec!$G$26*AR26,".")*$B$37</f>
        <v>8.7320000000000008E-4</v>
      </c>
      <c r="AS36" s="38">
        <f>IFERROR(RadSpec!$J$26*AS26,".")*$B$37</f>
        <v>6.8511693698630134E-11</v>
      </c>
      <c r="AT36" s="47">
        <f t="shared" si="61"/>
        <v>8.7320000000000008E-4</v>
      </c>
      <c r="AU36" s="47">
        <f t="shared" si="61"/>
        <v>6.8511693698630134E-11</v>
      </c>
      <c r="AV36" s="47">
        <f t="shared" si="62"/>
        <v>8.732000685116938E-4</v>
      </c>
    </row>
    <row r="37" spans="1:48" x14ac:dyDescent="0.25">
      <c r="A37" s="29" t="s">
        <v>295</v>
      </c>
      <c r="B37" s="24">
        <v>1</v>
      </c>
      <c r="C37" s="2"/>
      <c r="D37" s="30">
        <f>IFERROR(D22/$B37,0)</f>
        <v>162.98523761210328</v>
      </c>
      <c r="E37" s="30">
        <f>IFERROR(E22/$B37,0)</f>
        <v>5.9339379013229925</v>
      </c>
      <c r="F37" s="30">
        <f>IFERROR(F22/$B37,0)</f>
        <v>7253.7108770662535</v>
      </c>
      <c r="G37" s="30">
        <f t="shared" si="63"/>
        <v>5.7209697682885396</v>
      </c>
      <c r="H37" s="38">
        <f>IFERROR(RadSpec!$I$22*H22,".")*$B$37</f>
        <v>6.1355249999999994E-9</v>
      </c>
      <c r="I37" s="38">
        <f>IFERROR(RadSpec!$G$22*I22,".")*$B$37</f>
        <v>1.6852215453367762E-7</v>
      </c>
      <c r="J37" s="38">
        <f>IFERROR(RadSpec!$F$22*J22,".")*$B$37</f>
        <v>1.3786047127431795E-10</v>
      </c>
      <c r="K37" s="47">
        <f t="shared" si="48"/>
        <v>6.1355249999999994E-9</v>
      </c>
      <c r="L37" s="47">
        <f t="shared" si="48"/>
        <v>1.6852215453367762E-7</v>
      </c>
      <c r="M37" s="47">
        <f t="shared" si="48"/>
        <v>1.3786047127431795E-10</v>
      </c>
      <c r="N37" s="47">
        <f t="shared" si="55"/>
        <v>1.7479554000495194E-7</v>
      </c>
      <c r="O37" s="30">
        <f>IFERROR(O22/$B37,0)</f>
        <v>162.98523761210328</v>
      </c>
      <c r="P37" s="30">
        <f>IFERROR(P22/$B37,0)</f>
        <v>907.42056415871014</v>
      </c>
      <c r="Q37" s="30">
        <f>IFERROR(Q22/$B37,0)</f>
        <v>7253.7108770662535</v>
      </c>
      <c r="R37" s="30">
        <f t="shared" si="64"/>
        <v>135.58567701306612</v>
      </c>
      <c r="S37" s="38">
        <f>IFERROR(RadSpec!$I$22*S22,".")*$B$37</f>
        <v>6.1355249999999994E-9</v>
      </c>
      <c r="T37" s="38">
        <f>IFERROR(RadSpec!$G$22*T22,".")*$B$37</f>
        <v>1.1020248377632068E-9</v>
      </c>
      <c r="U37" s="38">
        <f>IFERROR(RadSpec!$F$22*U22,".")*$B$37</f>
        <v>1.3786047127431795E-10</v>
      </c>
      <c r="V37" s="47">
        <f t="shared" si="49"/>
        <v>6.1355249999999994E-9</v>
      </c>
      <c r="W37" s="47">
        <f t="shared" si="50"/>
        <v>1.1020248377632068E-9</v>
      </c>
      <c r="X37" s="47">
        <f t="shared" si="51"/>
        <v>1.3786047127431795E-10</v>
      </c>
      <c r="Y37" s="47">
        <f t="shared" si="57"/>
        <v>7.3754103090375239E-9</v>
      </c>
      <c r="Z37" s="30">
        <f t="shared" ref="Z37:AP37" si="67">IFERROR(Z22/$B37,0)</f>
        <v>7253.7108770662535</v>
      </c>
      <c r="AA37" s="30">
        <f t="shared" si="67"/>
        <v>10728.198644995111</v>
      </c>
      <c r="AB37" s="30">
        <f t="shared" si="67"/>
        <v>7023.9789790205659</v>
      </c>
      <c r="AC37" s="30">
        <f t="shared" si="67"/>
        <v>6028.5711705217054</v>
      </c>
      <c r="AD37" s="30">
        <f t="shared" si="67"/>
        <v>6317.1665380160375</v>
      </c>
      <c r="AE37" s="38">
        <f>IFERROR(RadSpec!$F$22*AE22,".")*$B$37</f>
        <v>1.3786047127431795E-10</v>
      </c>
      <c r="AF37" s="38">
        <f>IFERROR(RadSpec!$M$22*AF22,".")*$B$37</f>
        <v>9.3212293423231593E-11</v>
      </c>
      <c r="AG37" s="38">
        <f>IFERROR(RadSpec!$N$22*AG22,".")*$B$37</f>
        <v>1.4236944657534289E-10</v>
      </c>
      <c r="AH37" s="38">
        <f>IFERROR(RadSpec!$O$22*AH22,".")*$B$37</f>
        <v>1.6587678435145038E-10</v>
      </c>
      <c r="AI37" s="38">
        <f>IFERROR(RadSpec!$K$22*AI22,".")*$B$37</f>
        <v>1.5829881862099185E-10</v>
      </c>
      <c r="AJ37" s="47">
        <f t="shared" si="59"/>
        <v>1.3786047127431795E-10</v>
      </c>
      <c r="AK37" s="47">
        <f t="shared" si="53"/>
        <v>9.3212293423231593E-11</v>
      </c>
      <c r="AL37" s="47">
        <f t="shared" si="53"/>
        <v>1.4236944657534289E-10</v>
      </c>
      <c r="AM37" s="47">
        <f t="shared" si="53"/>
        <v>1.6587678435145038E-10</v>
      </c>
      <c r="AN37" s="47">
        <f t="shared" si="53"/>
        <v>1.5829881862099185E-10</v>
      </c>
      <c r="AO37" s="30">
        <f t="shared" si="67"/>
        <v>7.6455522000076458E-3</v>
      </c>
      <c r="AP37" s="30">
        <f t="shared" si="67"/>
        <v>237416.73729977215</v>
      </c>
      <c r="AQ37" s="30">
        <f t="shared" si="60"/>
        <v>7.6455519537972604E-3</v>
      </c>
      <c r="AR37" s="38">
        <f>IFERROR(RadSpec!$G$22*AR22,".")*$B$37</f>
        <v>1.3079500000000001E-4</v>
      </c>
      <c r="AS37" s="38">
        <f>IFERROR(RadSpec!$J$22*AS22,".")*$B$37</f>
        <v>4.2120029589041093E-12</v>
      </c>
      <c r="AT37" s="47">
        <f t="shared" si="61"/>
        <v>1.3079500000000001E-4</v>
      </c>
      <c r="AU37" s="47">
        <f t="shared" si="61"/>
        <v>4.2120029589041093E-12</v>
      </c>
      <c r="AV37" s="47">
        <f t="shared" si="62"/>
        <v>1.3079500421200296E-4</v>
      </c>
    </row>
    <row r="38" spans="1:48" x14ac:dyDescent="0.25">
      <c r="A38" s="29" t="s">
        <v>296</v>
      </c>
      <c r="B38" s="24">
        <v>1</v>
      </c>
      <c r="C38" s="2"/>
      <c r="D38" s="30">
        <f>IFERROR(D2/$B38,0)</f>
        <v>134.26242934439654</v>
      </c>
      <c r="E38" s="30">
        <f>IFERROR(E2/$B38,0)</f>
        <v>5.4343187775069373</v>
      </c>
      <c r="F38" s="30">
        <f>IFERROR(F2/$B38,0)</f>
        <v>1141.9130743794221</v>
      </c>
      <c r="G38" s="30">
        <f t="shared" si="63"/>
        <v>5.1991392997133383</v>
      </c>
      <c r="H38" s="38">
        <f>IFERROR(RadSpec!$I$2*H2,".")*$B$38</f>
        <v>7.4480999999999995E-9</v>
      </c>
      <c r="I38" s="38">
        <f>IFERROR(RadSpec!$G$2*I2,".")*$B$38</f>
        <v>1.840157048090511E-7</v>
      </c>
      <c r="J38" s="38">
        <f>IFERROR(RadSpec!$F$2*J2,".")*$B$38</f>
        <v>8.7572339999999969E-10</v>
      </c>
      <c r="K38" s="47">
        <f t="shared" si="48"/>
        <v>7.4480999999999995E-9</v>
      </c>
      <c r="L38" s="47">
        <f t="shared" si="48"/>
        <v>1.840157048090511E-7</v>
      </c>
      <c r="M38" s="47">
        <f t="shared" si="48"/>
        <v>8.7572339999999969E-10</v>
      </c>
      <c r="N38" s="47">
        <f t="shared" si="55"/>
        <v>1.9233952820905109E-7</v>
      </c>
      <c r="O38" s="30">
        <f>IFERROR(O2/$B38,0)</f>
        <v>134.26242934439654</v>
      </c>
      <c r="P38" s="30">
        <f>IFERROR(P2/$B38,0)</f>
        <v>831.01857365311923</v>
      </c>
      <c r="Q38" s="30">
        <f>IFERROR(Q2/$B38,0)</f>
        <v>1141.9130743794221</v>
      </c>
      <c r="R38" s="30">
        <f t="shared" si="64"/>
        <v>104.96300856416509</v>
      </c>
      <c r="S38" s="38">
        <f>IFERROR(RadSpec!$I$2*S2,".")*$B$38</f>
        <v>7.4480999999999995E-9</v>
      </c>
      <c r="T38" s="38">
        <f>IFERROR(RadSpec!$G$2*T2,".")*$B$38</f>
        <v>1.2033425385476601E-9</v>
      </c>
      <c r="U38" s="38">
        <f>IFERROR(RadSpec!$F$2*U2,".")*$B$38</f>
        <v>8.7572339999999969E-10</v>
      </c>
      <c r="V38" s="47">
        <f t="shared" si="49"/>
        <v>7.4480999999999995E-9</v>
      </c>
      <c r="W38" s="47">
        <f t="shared" si="50"/>
        <v>1.2033425385476601E-9</v>
      </c>
      <c r="X38" s="47">
        <f t="shared" si="51"/>
        <v>8.7572339999999969E-10</v>
      </c>
      <c r="Y38" s="47">
        <f t="shared" si="57"/>
        <v>9.5271659385476603E-9</v>
      </c>
      <c r="Z38" s="30">
        <f t="shared" ref="Z38:AP38" si="68">IFERROR(Z2/$B38,0)</f>
        <v>1141.9130743794221</v>
      </c>
      <c r="AA38" s="30">
        <f t="shared" si="68"/>
        <v>3927.7933670951093</v>
      </c>
      <c r="AB38" s="30">
        <f t="shared" si="68"/>
        <v>1615.4615009288823</v>
      </c>
      <c r="AC38" s="30">
        <f t="shared" si="68"/>
        <v>1131.1304547858037</v>
      </c>
      <c r="AD38" s="30">
        <f t="shared" si="68"/>
        <v>3801.7086057343463</v>
      </c>
      <c r="AE38" s="38">
        <f>IFERROR(RadSpec!$F$2*AE2,".")*$B$38</f>
        <v>8.7572339999999969E-10</v>
      </c>
      <c r="AF38" s="38">
        <f>IFERROR(RadSpec!$M$2*AF2,".")*$B$38</f>
        <v>2.5459587777133325E-10</v>
      </c>
      <c r="AG38" s="38">
        <f>IFERROR(RadSpec!$N$2*AG2,".")*$B$38</f>
        <v>6.1901815637513167E-10</v>
      </c>
      <c r="AH38" s="38">
        <f>IFERROR(RadSpec!$O$2*AH2,".")*$B$38</f>
        <v>8.8407132507926752E-10</v>
      </c>
      <c r="AI38" s="38">
        <f>IFERROR(RadSpec!$K$2*AI2,".")*$B$38</f>
        <v>2.6303962341870171E-10</v>
      </c>
      <c r="AJ38" s="47">
        <f t="shared" si="59"/>
        <v>8.7572339999999969E-10</v>
      </c>
      <c r="AK38" s="47">
        <f t="shared" si="53"/>
        <v>2.5459587777133325E-10</v>
      </c>
      <c r="AL38" s="47">
        <f t="shared" si="53"/>
        <v>6.1901815637513167E-10</v>
      </c>
      <c r="AM38" s="47">
        <f t="shared" si="53"/>
        <v>8.8407132507926752E-10</v>
      </c>
      <c r="AN38" s="47">
        <f t="shared" si="53"/>
        <v>2.6303962341870171E-10</v>
      </c>
      <c r="AO38" s="30">
        <f t="shared" si="68"/>
        <v>7.0018204733230645E-3</v>
      </c>
      <c r="AP38" s="30">
        <f t="shared" si="68"/>
        <v>85060.871867038542</v>
      </c>
      <c r="AQ38" s="30">
        <f t="shared" si="60"/>
        <v>7.0018198969653946E-3</v>
      </c>
      <c r="AR38" s="38">
        <f>IFERROR(RadSpec!$G$2*AR2,".")*$B$38</f>
        <v>1.4281999999999999E-4</v>
      </c>
      <c r="AS38" s="38">
        <f>IFERROR(RadSpec!$J$2*AS2,".")*$B$38</f>
        <v>1.1756286739726026E-11</v>
      </c>
      <c r="AT38" s="47">
        <f t="shared" si="61"/>
        <v>1.4281999999999999E-4</v>
      </c>
      <c r="AU38" s="47">
        <f t="shared" si="61"/>
        <v>1.1756286739726026E-11</v>
      </c>
      <c r="AV38" s="47">
        <f t="shared" si="62"/>
        <v>1.4282001175628672E-4</v>
      </c>
    </row>
    <row r="39" spans="1:48" x14ac:dyDescent="0.25">
      <c r="A39" s="29" t="s">
        <v>297</v>
      </c>
      <c r="B39" s="24">
        <v>1</v>
      </c>
      <c r="C39" s="2"/>
      <c r="D39" s="30">
        <f>IFERROR(D11/$B39,0)</f>
        <v>0</v>
      </c>
      <c r="E39" s="30">
        <f>IFERROR(E11/$B39,0)</f>
        <v>0</v>
      </c>
      <c r="F39" s="30">
        <f>IFERROR(F11/$B39,0)</f>
        <v>565.59435988378232</v>
      </c>
      <c r="G39" s="30">
        <f t="shared" si="63"/>
        <v>565.59435988378232</v>
      </c>
      <c r="H39" s="38">
        <f>IFERROR(RadSpec!$I$11*H11,".")*$B$39</f>
        <v>0</v>
      </c>
      <c r="I39" s="38">
        <f>IFERROR(RadSpec!$G$11*I11,".")*$B$39</f>
        <v>0</v>
      </c>
      <c r="J39" s="38">
        <f>IFERROR(RadSpec!$F$11*J11,".")*$B$39</f>
        <v>1.7680515771152297E-9</v>
      </c>
      <c r="K39" s="47">
        <f t="shared" si="48"/>
        <v>0</v>
      </c>
      <c r="L39" s="47">
        <f t="shared" si="48"/>
        <v>0</v>
      </c>
      <c r="M39" s="47">
        <f t="shared" si="48"/>
        <v>1.7680515771152297E-9</v>
      </c>
      <c r="N39" s="47">
        <f t="shared" si="55"/>
        <v>1.7680515771152297E-9</v>
      </c>
      <c r="O39" s="30">
        <f>IFERROR(O11/$B39,0)</f>
        <v>0</v>
      </c>
      <c r="P39" s="30">
        <f>IFERROR(P11/$B39,0)</f>
        <v>0</v>
      </c>
      <c r="Q39" s="30">
        <f>IFERROR(Q11/$B39,0)</f>
        <v>565.59435988378232</v>
      </c>
      <c r="R39" s="30">
        <f t="shared" si="64"/>
        <v>565.59435988378232</v>
      </c>
      <c r="S39" s="38">
        <f>IFERROR(RadSpec!$I$11*S11,".")*$B$39</f>
        <v>0</v>
      </c>
      <c r="T39" s="38">
        <f>IFERROR(RadSpec!$G$11*T11,".")*$B$39</f>
        <v>0</v>
      </c>
      <c r="U39" s="38">
        <f>IFERROR(RadSpec!$F$11*U11,".")*$B$39</f>
        <v>1.7680515771152297E-9</v>
      </c>
      <c r="V39" s="47">
        <f t="shared" si="49"/>
        <v>0</v>
      </c>
      <c r="W39" s="47">
        <f t="shared" si="50"/>
        <v>0</v>
      </c>
      <c r="X39" s="47">
        <f t="shared" si="51"/>
        <v>1.7680515771152297E-9</v>
      </c>
      <c r="Y39" s="47">
        <f t="shared" si="57"/>
        <v>1.7680515771152297E-9</v>
      </c>
      <c r="Z39" s="30">
        <f t="shared" ref="Z39:AP39" si="69">IFERROR(Z11/$B39,0)</f>
        <v>565.59435988378232</v>
      </c>
      <c r="AA39" s="30">
        <f t="shared" si="69"/>
        <v>3245.1446979931011</v>
      </c>
      <c r="AB39" s="30">
        <f t="shared" si="69"/>
        <v>862.69122887877165</v>
      </c>
      <c r="AC39" s="30">
        <f t="shared" si="69"/>
        <v>514.97474376728019</v>
      </c>
      <c r="AD39" s="30">
        <f t="shared" si="69"/>
        <v>3865.4678465384013</v>
      </c>
      <c r="AE39" s="38">
        <f>IFERROR(RadSpec!$F$11*AE11,".")*$B$39</f>
        <v>1.7680515771152297E-9</v>
      </c>
      <c r="AF39" s="38">
        <f>IFERROR(RadSpec!$M$11*AF11,".")*$B$39</f>
        <v>3.0815266900684929E-10</v>
      </c>
      <c r="AG39" s="38">
        <f>IFERROR(RadSpec!$N$11*AG11,".")*$B$39</f>
        <v>1.15916328638195E-9</v>
      </c>
      <c r="AH39" s="38">
        <f>IFERROR(RadSpec!$O$11*AH11,".")*$B$39</f>
        <v>1.941842803172315E-9</v>
      </c>
      <c r="AI39" s="38">
        <f>IFERROR(RadSpec!$K$11*AI11,".")*$B$39</f>
        <v>2.587008972007149E-10</v>
      </c>
      <c r="AJ39" s="47">
        <f t="shared" si="59"/>
        <v>1.7680515771152297E-9</v>
      </c>
      <c r="AK39" s="47">
        <f t="shared" si="53"/>
        <v>3.0815266900684929E-10</v>
      </c>
      <c r="AL39" s="47">
        <f t="shared" si="53"/>
        <v>1.15916328638195E-9</v>
      </c>
      <c r="AM39" s="47">
        <f t="shared" si="53"/>
        <v>1.941842803172315E-9</v>
      </c>
      <c r="AN39" s="47">
        <f t="shared" si="53"/>
        <v>2.587008972007149E-10</v>
      </c>
      <c r="AO39" s="30">
        <f t="shared" si="69"/>
        <v>0</v>
      </c>
      <c r="AP39" s="30">
        <f t="shared" si="69"/>
        <v>38005.921472506583</v>
      </c>
      <c r="AQ39" s="30">
        <f t="shared" si="60"/>
        <v>38005.921472506583</v>
      </c>
      <c r="AR39" s="38">
        <f>IFERROR(RadSpec!$G$11*AR11,".")*$B$39</f>
        <v>0</v>
      </c>
      <c r="AS39" s="38">
        <f>IFERROR(RadSpec!$J$11*AS11,".")*$B$39</f>
        <v>2.6311689369863012E-11</v>
      </c>
      <c r="AT39" s="47">
        <f t="shared" si="61"/>
        <v>0</v>
      </c>
      <c r="AU39" s="47">
        <f t="shared" si="61"/>
        <v>2.6311689369863012E-11</v>
      </c>
      <c r="AV39" s="47">
        <f t="shared" si="62"/>
        <v>2.6311689369863012E-11</v>
      </c>
    </row>
    <row r="40" spans="1:48" x14ac:dyDescent="0.25">
      <c r="A40" s="29" t="s">
        <v>298</v>
      </c>
      <c r="B40" s="24">
        <v>1</v>
      </c>
      <c r="C40" s="2"/>
      <c r="D40" s="30">
        <f>IFERROR(D4/$B40,0)</f>
        <v>0</v>
      </c>
      <c r="E40" s="30">
        <f>IFERROR(E4/$B40,0)</f>
        <v>0</v>
      </c>
      <c r="F40" s="30">
        <f>IFERROR(F4/$B40,0)</f>
        <v>61646.255780056425</v>
      </c>
      <c r="G40" s="30">
        <f t="shared" si="63"/>
        <v>61646.255780056425</v>
      </c>
      <c r="H40" s="38">
        <f>IFERROR(RadSpec!$I$4*H4,".")*$B$40</f>
        <v>0</v>
      </c>
      <c r="I40" s="38">
        <f>IFERROR(RadSpec!$G$4*I4,".")*$B$40</f>
        <v>0</v>
      </c>
      <c r="J40" s="38">
        <f>IFERROR(RadSpec!$F$4*J4,".")*$B$40</f>
        <v>1.6221585355773002E-11</v>
      </c>
      <c r="K40" s="47">
        <f t="shared" si="48"/>
        <v>0</v>
      </c>
      <c r="L40" s="47">
        <f t="shared" si="48"/>
        <v>0</v>
      </c>
      <c r="M40" s="47">
        <f t="shared" si="48"/>
        <v>1.6221585355773002E-11</v>
      </c>
      <c r="N40" s="47">
        <f t="shared" si="55"/>
        <v>1.6221585355773002E-11</v>
      </c>
      <c r="O40" s="30">
        <f>IFERROR(O4/$B40,0)</f>
        <v>0</v>
      </c>
      <c r="P40" s="30">
        <f>IFERROR(P4/$B40,0)</f>
        <v>0</v>
      </c>
      <c r="Q40" s="30">
        <f>IFERROR(Q4/$B40,0)</f>
        <v>61646.255780056425</v>
      </c>
      <c r="R40" s="30">
        <f t="shared" si="64"/>
        <v>61646.255780056425</v>
      </c>
      <c r="S40" s="38">
        <f>IFERROR(RadSpec!$I$4*S4,".")*$B$40</f>
        <v>0</v>
      </c>
      <c r="T40" s="38">
        <f>IFERROR(RadSpec!$G$4*T4,".")*$B$40</f>
        <v>0</v>
      </c>
      <c r="U40" s="38">
        <f>IFERROR(RadSpec!$F$4*U4,".")*$B$40</f>
        <v>1.6221585355773002E-11</v>
      </c>
      <c r="V40" s="47">
        <f t="shared" si="49"/>
        <v>0</v>
      </c>
      <c r="W40" s="47">
        <f t="shared" si="50"/>
        <v>0</v>
      </c>
      <c r="X40" s="47">
        <f t="shared" si="51"/>
        <v>1.6221585355773002E-11</v>
      </c>
      <c r="Y40" s="47">
        <f t="shared" si="57"/>
        <v>1.6221585355773002E-11</v>
      </c>
      <c r="Z40" s="30">
        <f t="shared" ref="Z40:AP40" si="70">IFERROR(Z4/$B40,0)</f>
        <v>61646.255780056425</v>
      </c>
      <c r="AA40" s="30">
        <f t="shared" si="70"/>
        <v>398502.33303071506</v>
      </c>
      <c r="AB40" s="30">
        <f t="shared" si="70"/>
        <v>103029.35804451784</v>
      </c>
      <c r="AC40" s="30">
        <f t="shared" si="70"/>
        <v>59531.943705477453</v>
      </c>
      <c r="AD40" s="30">
        <f t="shared" si="70"/>
        <v>490597.56379651144</v>
      </c>
      <c r="AE40" s="38">
        <f>IFERROR(RadSpec!$F$4*AE4,".")*$B$40</f>
        <v>1.6221585355773002E-11</v>
      </c>
      <c r="AF40" s="38">
        <f>IFERROR(RadSpec!$M$4*AF4,".")*$B$40</f>
        <v>2.5093955972471652E-12</v>
      </c>
      <c r="AG40" s="38">
        <f>IFERROR(RadSpec!$N$4*AG4,".")*$B$40</f>
        <v>9.7059713753424638E-12</v>
      </c>
      <c r="AH40" s="38">
        <f>IFERROR(RadSpec!$O$4*AH4,".")*$B$40</f>
        <v>1.6797704522252838E-11</v>
      </c>
      <c r="AI40" s="38">
        <f>IFERROR(RadSpec!$K$4*AI4,".")*$B$40</f>
        <v>2.0383305458377222E-12</v>
      </c>
      <c r="AJ40" s="47">
        <f t="shared" si="59"/>
        <v>1.6221585355773002E-11</v>
      </c>
      <c r="AK40" s="47">
        <f t="shared" si="53"/>
        <v>2.5093955972471652E-12</v>
      </c>
      <c r="AL40" s="47">
        <f t="shared" si="53"/>
        <v>9.7059713753424638E-12</v>
      </c>
      <c r="AM40" s="47">
        <f t="shared" si="53"/>
        <v>1.6797704522252838E-11</v>
      </c>
      <c r="AN40" s="47">
        <f t="shared" si="53"/>
        <v>2.0383305458377222E-12</v>
      </c>
      <c r="AO40" s="30">
        <f t="shared" si="70"/>
        <v>0</v>
      </c>
      <c r="AP40" s="30">
        <f t="shared" si="70"/>
        <v>4487062.7384406701</v>
      </c>
      <c r="AQ40" s="30">
        <f t="shared" si="60"/>
        <v>4487062.7384406701</v>
      </c>
      <c r="AR40" s="38">
        <f>IFERROR(RadSpec!$G$4*AR4,".")*$B$40</f>
        <v>0</v>
      </c>
      <c r="AS40" s="38">
        <f>IFERROR(RadSpec!$J$4*AS4,".")*$B$40</f>
        <v>2.2286294136986302E-13</v>
      </c>
      <c r="AT40" s="47">
        <f t="shared" si="61"/>
        <v>0</v>
      </c>
      <c r="AU40" s="47">
        <f t="shared" si="61"/>
        <v>2.2286294136986302E-13</v>
      </c>
      <c r="AV40" s="47">
        <f t="shared" si="62"/>
        <v>2.2286294136986302E-13</v>
      </c>
    </row>
    <row r="41" spans="1:48" x14ac:dyDescent="0.25">
      <c r="A41" s="29" t="s">
        <v>299</v>
      </c>
      <c r="B41" s="31">
        <v>0.99987999999999999</v>
      </c>
      <c r="C41" s="111"/>
      <c r="D41" s="30">
        <f>IFERROR(D8/$B41,0)</f>
        <v>38230.997007893871</v>
      </c>
      <c r="E41" s="30">
        <f>IFERROR(E8/$B41,0)</f>
        <v>2097.8987959731944</v>
      </c>
      <c r="F41" s="30">
        <f>IFERROR(F8/$B41,0)</f>
        <v>91.503284036435588</v>
      </c>
      <c r="G41" s="30">
        <f t="shared" si="63"/>
        <v>87.47839722063749</v>
      </c>
      <c r="H41" s="38">
        <f>IFERROR(RadSpec!$I$8*H8,".")*$B$41</f>
        <v>2.6156785809000002E-11</v>
      </c>
      <c r="I41" s="38">
        <f>IFERROR(RadSpec!$G$8*I8,".")*$B$41</f>
        <v>4.7666741690278241E-10</v>
      </c>
      <c r="J41" s="38">
        <f>IFERROR(RadSpec!$F$8*J8,".")*$B$41</f>
        <v>1.0928569510158906E-8</v>
      </c>
      <c r="K41" s="47">
        <f t="shared" si="48"/>
        <v>2.6156785809000002E-11</v>
      </c>
      <c r="L41" s="47">
        <f t="shared" si="48"/>
        <v>4.7666741690278241E-10</v>
      </c>
      <c r="M41" s="47">
        <f t="shared" si="48"/>
        <v>1.0928569510158906E-8</v>
      </c>
      <c r="N41" s="47">
        <f t="shared" si="55"/>
        <v>1.1431393712870688E-8</v>
      </c>
      <c r="O41" s="30">
        <f>IFERROR(O8/$B41,0)</f>
        <v>38230.997007893871</v>
      </c>
      <c r="P41" s="30">
        <f>IFERROR(P8/$B41,0)</f>
        <v>320811.66683012364</v>
      </c>
      <c r="Q41" s="30">
        <f>IFERROR(Q8/$B41,0)</f>
        <v>91.503284036435588</v>
      </c>
      <c r="R41" s="30">
        <f t="shared" si="64"/>
        <v>91.258833006334669</v>
      </c>
      <c r="S41" s="38">
        <f>IFERROR(RadSpec!$I$8*S8,".")*$B$41</f>
        <v>2.6156785809000002E-11</v>
      </c>
      <c r="T41" s="38">
        <f>IFERROR(RadSpec!$G$8*T8,".")*$B$41</f>
        <v>3.1170936203187418E-12</v>
      </c>
      <c r="U41" s="38">
        <f>IFERROR(RadSpec!$F$8*U8,".")*$B$41</f>
        <v>1.0928569510158906E-8</v>
      </c>
      <c r="V41" s="47">
        <f t="shared" si="49"/>
        <v>2.6156785809000002E-11</v>
      </c>
      <c r="W41" s="47">
        <f t="shared" si="50"/>
        <v>3.1170936203187418E-12</v>
      </c>
      <c r="X41" s="47">
        <f t="shared" si="51"/>
        <v>1.0928569510158906E-8</v>
      </c>
      <c r="Y41" s="47">
        <f t="shared" si="57"/>
        <v>1.0957843389588224E-8</v>
      </c>
      <c r="Z41" s="30">
        <f t="shared" ref="Z41:AP41" si="71">IFERROR(Z8/$B41,0)</f>
        <v>91.503284036435588</v>
      </c>
      <c r="AA41" s="30">
        <f t="shared" si="71"/>
        <v>772.32267899659473</v>
      </c>
      <c r="AB41" s="30">
        <f t="shared" si="71"/>
        <v>186.51592697767776</v>
      </c>
      <c r="AC41" s="30">
        <f t="shared" si="71"/>
        <v>103.18027077815897</v>
      </c>
      <c r="AD41" s="30">
        <f t="shared" si="71"/>
        <v>1090.7613319539819</v>
      </c>
      <c r="AE41" s="38">
        <f>IFERROR(RadSpec!$F$8*AE8,".")*$B$41</f>
        <v>1.0928569510158906E-8</v>
      </c>
      <c r="AF41" s="38">
        <f>IFERROR(RadSpec!$M$8*AF8,".")*$B$41</f>
        <v>1.2947955915255586E-9</v>
      </c>
      <c r="AG41" s="38">
        <f>IFERROR(RadSpec!$N$8*AG8,".")*$B$41</f>
        <v>5.3614724286772567E-9</v>
      </c>
      <c r="AH41" s="38">
        <f>IFERROR(RadSpec!$O$8*AH8,".")*$B$41</f>
        <v>9.6917753021799414E-9</v>
      </c>
      <c r="AI41" s="38">
        <f>IFERROR(RadSpec!$K$8*AI8,".")*$B$41</f>
        <v>9.1679084205213565E-10</v>
      </c>
      <c r="AJ41" s="47">
        <f t="shared" si="59"/>
        <v>1.0928569510158906E-8</v>
      </c>
      <c r="AK41" s="47">
        <f t="shared" si="53"/>
        <v>1.2947955915255586E-9</v>
      </c>
      <c r="AL41" s="47">
        <f t="shared" si="53"/>
        <v>5.3614724286772567E-9</v>
      </c>
      <c r="AM41" s="47">
        <f t="shared" si="53"/>
        <v>9.6917753021799414E-9</v>
      </c>
      <c r="AN41" s="47">
        <f t="shared" si="53"/>
        <v>9.1679084205213565E-10</v>
      </c>
      <c r="AO41" s="30">
        <f t="shared" si="71"/>
        <v>2.7030270659506166</v>
      </c>
      <c r="AP41" s="30">
        <f t="shared" si="71"/>
        <v>8227.2689594163585</v>
      </c>
      <c r="AQ41" s="30">
        <f t="shared" si="60"/>
        <v>2.7021392919300897</v>
      </c>
      <c r="AR41" s="38">
        <f>IFERROR(RadSpec!$G$8*AR8,".")*$B$41</f>
        <v>3.6995559999999999E-7</v>
      </c>
      <c r="AS41" s="38">
        <f>IFERROR(RadSpec!$J$8*AS8,".")*$B$41</f>
        <v>1.215470169910356E-10</v>
      </c>
      <c r="AT41" s="47">
        <f t="shared" si="61"/>
        <v>3.6995559999999999E-7</v>
      </c>
      <c r="AU41" s="47">
        <f t="shared" si="61"/>
        <v>1.215470169910356E-10</v>
      </c>
      <c r="AV41" s="47">
        <f t="shared" si="62"/>
        <v>3.7007714701699102E-7</v>
      </c>
    </row>
    <row r="42" spans="1:48" x14ac:dyDescent="0.25">
      <c r="A42" s="29" t="s">
        <v>300</v>
      </c>
      <c r="B42" s="24">
        <v>0.97898250799999997</v>
      </c>
      <c r="C42" s="2"/>
      <c r="D42" s="30">
        <f>IFERROR(D19/$B42,0)</f>
        <v>0</v>
      </c>
      <c r="E42" s="30">
        <f>IFERROR(E19/$B42,0)</f>
        <v>0</v>
      </c>
      <c r="F42" s="30">
        <f>IFERROR(F19/$B42,0)</f>
        <v>277959.94440049137</v>
      </c>
      <c r="G42" s="30">
        <f t="shared" si="63"/>
        <v>277959.94440049137</v>
      </c>
      <c r="H42" s="48">
        <f>IFERROR(RadSpec!$I$19*H19,".")*$B$42</f>
        <v>0</v>
      </c>
      <c r="I42" s="48">
        <f>IFERROR(RadSpec!$G$19*I19,".")*$B$42</f>
        <v>0</v>
      </c>
      <c r="J42" s="48">
        <f>IFERROR(RadSpec!$F$19*J19,".")*$B$42</f>
        <v>3.5976406678193037E-12</v>
      </c>
      <c r="K42" s="47">
        <f t="shared" si="48"/>
        <v>0</v>
      </c>
      <c r="L42" s="47">
        <f t="shared" si="48"/>
        <v>0</v>
      </c>
      <c r="M42" s="47">
        <f t="shared" si="48"/>
        <v>3.5976406678193037E-12</v>
      </c>
      <c r="N42" s="47">
        <f t="shared" si="55"/>
        <v>3.5976406678193037E-12</v>
      </c>
      <c r="O42" s="30">
        <f>IFERROR(O19/$B42,0)</f>
        <v>0</v>
      </c>
      <c r="P42" s="30">
        <f>IFERROR(P19/$B42,0)</f>
        <v>0</v>
      </c>
      <c r="Q42" s="30">
        <f>IFERROR(Q19/$B42,0)</f>
        <v>277959.94440049137</v>
      </c>
      <c r="R42" s="30">
        <f t="shared" si="64"/>
        <v>277959.94440049137</v>
      </c>
      <c r="S42" s="48">
        <f>IFERROR(RadSpec!$I$19*S19,".")*$B$42</f>
        <v>0</v>
      </c>
      <c r="T42" s="48">
        <f>IFERROR(RadSpec!$G$19*T19,".")*$B$42</f>
        <v>0</v>
      </c>
      <c r="U42" s="48">
        <f>IFERROR(RadSpec!$F$19*U19,".")*$B$42</f>
        <v>3.5976406678193037E-12</v>
      </c>
      <c r="V42" s="47">
        <f t="shared" si="49"/>
        <v>0</v>
      </c>
      <c r="W42" s="47">
        <f t="shared" si="50"/>
        <v>0</v>
      </c>
      <c r="X42" s="47">
        <f t="shared" si="51"/>
        <v>3.5976406678193037E-12</v>
      </c>
      <c r="Y42" s="47">
        <f t="shared" si="57"/>
        <v>3.5976406678193037E-12</v>
      </c>
      <c r="Z42" s="30">
        <f t="shared" ref="Z42:AP42" si="72">IFERROR(Z19/$B42,0)</f>
        <v>277959.94440049137</v>
      </c>
      <c r="AA42" s="30">
        <f t="shared" si="72"/>
        <v>2842058.3273223978</v>
      </c>
      <c r="AB42" s="30">
        <f t="shared" si="72"/>
        <v>677997.04590130516</v>
      </c>
      <c r="AC42" s="30">
        <f t="shared" si="72"/>
        <v>336903.6525900577</v>
      </c>
      <c r="AD42" s="30">
        <f t="shared" si="72"/>
        <v>4415576.2738851421</v>
      </c>
      <c r="AE42" s="48">
        <f>IFERROR(RadSpec!$F$19*AE19,".")*$B$42</f>
        <v>3.5976406678193037E-12</v>
      </c>
      <c r="AF42" s="48">
        <f>IFERROR(RadSpec!$M$19*AF19,".")*$B$42</f>
        <v>3.5185766259137078E-13</v>
      </c>
      <c r="AG42" s="48">
        <f>IFERROR(RadSpec!$N$19*AG19,".")*$B$42</f>
        <v>1.4749326800836357E-12</v>
      </c>
      <c r="AH42" s="48">
        <f>IFERROR(RadSpec!$O$19*AH19,".")*$B$42</f>
        <v>2.9682076531737516E-12</v>
      </c>
      <c r="AI42" s="48">
        <f>IFERROR(RadSpec!$K$19*AI19,".")*$B$42</f>
        <v>2.2647100581508651E-13</v>
      </c>
      <c r="AJ42" s="47">
        <f t="shared" si="59"/>
        <v>3.5976406678193037E-12</v>
      </c>
      <c r="AK42" s="47">
        <f t="shared" si="53"/>
        <v>3.5185766259137078E-13</v>
      </c>
      <c r="AL42" s="47">
        <f t="shared" si="53"/>
        <v>1.4749326800836357E-12</v>
      </c>
      <c r="AM42" s="47">
        <f t="shared" si="53"/>
        <v>2.9682076531737516E-12</v>
      </c>
      <c r="AN42" s="47">
        <f t="shared" si="53"/>
        <v>2.2647100581508651E-13</v>
      </c>
      <c r="AO42" s="30">
        <f t="shared" si="72"/>
        <v>0</v>
      </c>
      <c r="AP42" s="30">
        <f t="shared" si="72"/>
        <v>27766069.145827945</v>
      </c>
      <c r="AQ42" s="30">
        <f t="shared" si="60"/>
        <v>27766069.145827945</v>
      </c>
      <c r="AR42" s="48">
        <f>IFERROR(RadSpec!$G$19*AR19,".")*$B$42</f>
        <v>0</v>
      </c>
      <c r="AS42" s="48">
        <f>IFERROR(RadSpec!$J$19*AS19,".")*$B$42</f>
        <v>3.6015180785871429E-14</v>
      </c>
      <c r="AT42" s="47">
        <f t="shared" si="61"/>
        <v>0</v>
      </c>
      <c r="AU42" s="47">
        <f t="shared" si="61"/>
        <v>3.6015180785871429E-14</v>
      </c>
      <c r="AV42" s="47">
        <f t="shared" si="62"/>
        <v>3.6015180785871429E-14</v>
      </c>
    </row>
    <row r="43" spans="1:48" x14ac:dyDescent="0.25">
      <c r="A43" s="29" t="s">
        <v>301</v>
      </c>
      <c r="B43" s="24">
        <v>2.0897492E-2</v>
      </c>
      <c r="C43" s="2"/>
      <c r="D43" s="30">
        <f>IFERROR(D28/$B43,0)</f>
        <v>0</v>
      </c>
      <c r="E43" s="30">
        <f>IFERROR(E28/$B43,0)</f>
        <v>0</v>
      </c>
      <c r="F43" s="30">
        <f>IFERROR(F28/$B43,0)</f>
        <v>215.56144386117631</v>
      </c>
      <c r="G43" s="30">
        <f t="shared" si="63"/>
        <v>215.56144386117631</v>
      </c>
      <c r="H43" s="48">
        <f>IFERROR(RadSpec!$I$28*H28,".")*$B$43</f>
        <v>0</v>
      </c>
      <c r="I43" s="48">
        <f>IFERROR(RadSpec!$G$28*I28,".")*$B$43</f>
        <v>0</v>
      </c>
      <c r="J43" s="48">
        <f>IFERROR(RadSpec!$F$28*J28,".")*$B$43</f>
        <v>4.6390485333917593E-9</v>
      </c>
      <c r="K43" s="47">
        <f t="shared" si="48"/>
        <v>0</v>
      </c>
      <c r="L43" s="47">
        <f t="shared" si="48"/>
        <v>0</v>
      </c>
      <c r="M43" s="47">
        <f t="shared" si="48"/>
        <v>4.6390485333917593E-9</v>
      </c>
      <c r="N43" s="47">
        <f t="shared" si="55"/>
        <v>4.6390485333917593E-9</v>
      </c>
      <c r="O43" s="30">
        <f>IFERROR(O28/$B43,0)</f>
        <v>0</v>
      </c>
      <c r="P43" s="30">
        <f>IFERROR(P28/$B43,0)</f>
        <v>0</v>
      </c>
      <c r="Q43" s="30">
        <f>IFERROR(Q28/$B43,0)</f>
        <v>215.56144386117631</v>
      </c>
      <c r="R43" s="30">
        <f t="shared" si="64"/>
        <v>215.56144386117631</v>
      </c>
      <c r="S43" s="48">
        <f>IFERROR(RadSpec!$I$28*S28,".")*$B$43</f>
        <v>0</v>
      </c>
      <c r="T43" s="48">
        <f>IFERROR(RadSpec!$G$28*T28,".")*$B$43</f>
        <v>0</v>
      </c>
      <c r="U43" s="48">
        <f>IFERROR(RadSpec!$F$28*U28,".")*$B$43</f>
        <v>4.6390485333917593E-9</v>
      </c>
      <c r="V43" s="47">
        <f t="shared" si="49"/>
        <v>0</v>
      </c>
      <c r="W43" s="47">
        <f t="shared" si="50"/>
        <v>0</v>
      </c>
      <c r="X43" s="47">
        <f t="shared" si="51"/>
        <v>4.6390485333917593E-9</v>
      </c>
      <c r="Y43" s="47">
        <f t="shared" si="57"/>
        <v>4.6390485333917593E-9</v>
      </c>
      <c r="Z43" s="30">
        <f t="shared" ref="Z43:AP43" si="73">IFERROR(Z28/$B43,0)</f>
        <v>215.56144386117631</v>
      </c>
      <c r="AA43" s="30">
        <f t="shared" si="73"/>
        <v>2530.8894428504032</v>
      </c>
      <c r="AB43" s="30">
        <f t="shared" si="73"/>
        <v>579.78720090318654</v>
      </c>
      <c r="AC43" s="30">
        <f t="shared" si="73"/>
        <v>287.05788536773468</v>
      </c>
      <c r="AD43" s="30">
        <f t="shared" si="73"/>
        <v>3768.3782351523218</v>
      </c>
      <c r="AE43" s="48">
        <f>IFERROR(RadSpec!$F$28*AE28,".")*$B$43</f>
        <v>4.6390485333917593E-9</v>
      </c>
      <c r="AF43" s="48">
        <f>IFERROR(RadSpec!$M$28*AF28,".")*$B$43</f>
        <v>3.9511800992529892E-10</v>
      </c>
      <c r="AG43" s="48">
        <f>IFERROR(RadSpec!$N$28*AG28,".")*$B$43</f>
        <v>1.7247707407859477E-9</v>
      </c>
      <c r="AH43" s="48">
        <f>IFERROR(RadSpec!$O$28*AH28,".")*$B$43</f>
        <v>3.4836179424890302E-9</v>
      </c>
      <c r="AI43" s="48">
        <f>IFERROR(RadSpec!$K$28*AI28,".")*$B$43</f>
        <v>2.6536614362957625E-10</v>
      </c>
      <c r="AJ43" s="47">
        <f t="shared" si="59"/>
        <v>4.6390485333917593E-9</v>
      </c>
      <c r="AK43" s="47">
        <f t="shared" si="53"/>
        <v>3.9511800992529892E-10</v>
      </c>
      <c r="AL43" s="47">
        <f t="shared" si="53"/>
        <v>1.7247707407859477E-9</v>
      </c>
      <c r="AM43" s="47">
        <f t="shared" si="53"/>
        <v>3.4836179424890302E-9</v>
      </c>
      <c r="AN43" s="47">
        <f t="shared" si="53"/>
        <v>2.6536614362957625E-10</v>
      </c>
      <c r="AO43" s="30">
        <f t="shared" si="73"/>
        <v>0</v>
      </c>
      <c r="AP43" s="30">
        <f t="shared" si="73"/>
        <v>21890.737807759713</v>
      </c>
      <c r="AQ43" s="30">
        <f t="shared" si="60"/>
        <v>21890.737807759713</v>
      </c>
      <c r="AR43" s="48">
        <f>IFERROR(RadSpec!$G$28*AR28,".")*$B$43</f>
        <v>0</v>
      </c>
      <c r="AS43" s="48">
        <f>IFERROR(RadSpec!$J$28*AS28,".")*$B$43</f>
        <v>4.5681420552464215E-11</v>
      </c>
      <c r="AT43" s="47">
        <f t="shared" si="61"/>
        <v>0</v>
      </c>
      <c r="AU43" s="47">
        <f t="shared" si="61"/>
        <v>4.5681420552464215E-11</v>
      </c>
      <c r="AV43" s="47">
        <f t="shared" si="62"/>
        <v>4.5681420552464215E-11</v>
      </c>
    </row>
    <row r="44" spans="1:48" x14ac:dyDescent="0.25">
      <c r="A44" s="29" t="s">
        <v>302</v>
      </c>
      <c r="B44" s="24">
        <v>0.99987999999999999</v>
      </c>
      <c r="C44" s="2"/>
      <c r="D44" s="30">
        <f>IFERROR(D15/$B44,0)</f>
        <v>99284.74071443954</v>
      </c>
      <c r="E44" s="30">
        <f>IFERROR(E15/$B44,0)</f>
        <v>746583.20141394809</v>
      </c>
      <c r="F44" s="30">
        <f>IFERROR(F15/$B44,0)</f>
        <v>9061.9194335600478</v>
      </c>
      <c r="G44" s="30">
        <f t="shared" si="63"/>
        <v>8212.6502409576296</v>
      </c>
      <c r="H44" s="38">
        <f>IFERROR(RadSpec!$I$15*H15,".")*$B$44</f>
        <v>1.0072041210000001E-11</v>
      </c>
      <c r="I44" s="38">
        <f>IFERROR(RadSpec!$G$15*I15,".")*$B$44</f>
        <v>1.3394354414968186E-12</v>
      </c>
      <c r="J44" s="38">
        <f>IFERROR(RadSpec!$F$15*J15,".")*$B$44</f>
        <v>1.1035189700501918E-10</v>
      </c>
      <c r="K44" s="47">
        <f t="shared" si="48"/>
        <v>1.0072041210000001E-11</v>
      </c>
      <c r="L44" s="47">
        <f t="shared" si="48"/>
        <v>1.3394354414968186E-12</v>
      </c>
      <c r="M44" s="47">
        <f t="shared" si="48"/>
        <v>1.1035189700501918E-10</v>
      </c>
      <c r="N44" s="47">
        <f t="shared" si="55"/>
        <v>1.2176337365651599E-10</v>
      </c>
      <c r="O44" s="30">
        <f>IFERROR(O15/$B44,0)</f>
        <v>99284.74071443954</v>
      </c>
      <c r="P44" s="30">
        <f>IFERROR(P15/$B44,0)</f>
        <v>114167852.96445678</v>
      </c>
      <c r="Q44" s="30">
        <f>IFERROR(Q15/$B44,0)</f>
        <v>9061.9194335600478</v>
      </c>
      <c r="R44" s="30">
        <f t="shared" si="64"/>
        <v>8303.3928729503787</v>
      </c>
      <c r="S44" s="38">
        <f>IFERROR(RadSpec!$I$15*S15,".")*$B$44</f>
        <v>1.0072041210000001E-11</v>
      </c>
      <c r="T44" s="38">
        <f>IFERROR(RadSpec!$G$15*T15,".")*$B$44</f>
        <v>8.7590330730956631E-15</v>
      </c>
      <c r="U44" s="38">
        <f>IFERROR(RadSpec!$F$15*U15,".")*$B$44</f>
        <v>1.1035189700501918E-10</v>
      </c>
      <c r="V44" s="47">
        <f t="shared" si="49"/>
        <v>1.0072041210000001E-11</v>
      </c>
      <c r="W44" s="47">
        <f t="shared" si="50"/>
        <v>8.7590330730956631E-15</v>
      </c>
      <c r="X44" s="47">
        <f t="shared" si="51"/>
        <v>1.1035189700501918E-10</v>
      </c>
      <c r="Y44" s="47">
        <f t="shared" si="57"/>
        <v>1.2043269724809227E-10</v>
      </c>
      <c r="Z44" s="30">
        <f t="shared" ref="Z44:AP44" si="74">IFERROR(Z15/$B44,0)</f>
        <v>9061.9194335600478</v>
      </c>
      <c r="AA44" s="30">
        <f t="shared" si="74"/>
        <v>29351.379660876086</v>
      </c>
      <c r="AB44" s="30">
        <f t="shared" si="74"/>
        <v>11682.967879589747</v>
      </c>
      <c r="AC44" s="30">
        <f t="shared" si="74"/>
        <v>9201.9490936812799</v>
      </c>
      <c r="AD44" s="30">
        <f t="shared" si="74"/>
        <v>8612.5680566893006</v>
      </c>
      <c r="AE44" s="38">
        <f>IFERROR(RadSpec!$F$15*AE15,".")*$B$44</f>
        <v>1.1035189700501918E-10</v>
      </c>
      <c r="AF44" s="38">
        <f>IFERROR(RadSpec!$M$15*AF15,".")*$B$44</f>
        <v>3.7855498581287015E-11</v>
      </c>
      <c r="AG44" s="38">
        <f>IFERROR(RadSpec!$N$15*AG15,".")*$B$44</f>
        <v>8.5594688807371385E-11</v>
      </c>
      <c r="AH44" s="38">
        <f>IFERROR(RadSpec!$O$15*AH15,".")*$B$44</f>
        <v>1.0867262900711672E-10</v>
      </c>
      <c r="AI44" s="38">
        <f>IFERROR(RadSpec!$K$15*AI15,".")*$B$44</f>
        <v>1.0449844855518773E-10</v>
      </c>
      <c r="AJ44" s="47">
        <f t="shared" si="59"/>
        <v>1.1035189700501918E-10</v>
      </c>
      <c r="AK44" s="47">
        <f t="shared" si="53"/>
        <v>3.7855498581287015E-11</v>
      </c>
      <c r="AL44" s="47">
        <f t="shared" si="53"/>
        <v>8.5594688807371385E-11</v>
      </c>
      <c r="AM44" s="47">
        <f t="shared" si="53"/>
        <v>1.0867262900711672E-10</v>
      </c>
      <c r="AN44" s="47">
        <f t="shared" si="53"/>
        <v>1.0449844855518773E-10</v>
      </c>
      <c r="AO44" s="30">
        <f t="shared" si="74"/>
        <v>961.93134019594902</v>
      </c>
      <c r="AP44" s="30">
        <f t="shared" si="74"/>
        <v>2569612.7708862047</v>
      </c>
      <c r="AQ44" s="30">
        <f t="shared" si="60"/>
        <v>961.57137714860028</v>
      </c>
      <c r="AR44" s="38">
        <f>IFERROR(RadSpec!$G$15*AR15,".")*$B$44</f>
        <v>1.039575236E-9</v>
      </c>
      <c r="AS44" s="38">
        <f>IFERROR(RadSpec!$J$15*AS15,".")*$B$44</f>
        <v>3.8916369475200001E-13</v>
      </c>
      <c r="AT44" s="47">
        <f t="shared" si="61"/>
        <v>1.039575236E-9</v>
      </c>
      <c r="AU44" s="47">
        <f t="shared" si="61"/>
        <v>3.8916369475200001E-13</v>
      </c>
      <c r="AV44" s="47">
        <f t="shared" si="62"/>
        <v>1.0399643996947519E-9</v>
      </c>
    </row>
    <row r="45" spans="1:48" x14ac:dyDescent="0.25">
      <c r="A45" s="26" t="s">
        <v>20</v>
      </c>
      <c r="B45" s="26" t="s">
        <v>289</v>
      </c>
      <c r="C45" s="110"/>
      <c r="D45" s="27">
        <f>IFERROR(IF(AND(D46&lt;&gt;0,D47&lt;&gt;0),1/SUM(1/D46,1/D47),IF(AND(D46&lt;&gt;0,D47=0),1/(1/D46),IF(AND(D46=0,D47&lt;&gt;0),1/(1/D47),IF(AND(D46=0,D47=0),".")))),".")</f>
        <v>381.37407171167359</v>
      </c>
      <c r="E45" s="27">
        <f t="shared" ref="E45:G45" si="75">IFERROR(IF(AND(E46&lt;&gt;0,E47&lt;&gt;0),1/SUM(1/E46,1/E47),IF(AND(E46&lt;&gt;0,E47=0),1/(1/E46),IF(AND(E46=0,E47&lt;&gt;0),1/(1/E47),IF(AND(E46=0,E47=0),".")))),".")</f>
        <v>1380.0309527089985</v>
      </c>
      <c r="F45" s="27">
        <f t="shared" si="75"/>
        <v>19.711898348194978</v>
      </c>
      <c r="G45" s="28">
        <f t="shared" si="75"/>
        <v>18.491979097308498</v>
      </c>
      <c r="H45" s="45"/>
      <c r="I45" s="45"/>
      <c r="J45" s="45"/>
      <c r="K45" s="46">
        <f>IFERROR(IF(SUM(H46:H47)&gt;0.01,1-EXP(-SUM(H46:H47)),SUM(H46:H47)),".")</f>
        <v>2.6220974999999999E-9</v>
      </c>
      <c r="L45" s="46">
        <f>IFERROR(IF(SUM(I46:I47)&gt;0.01,1-EXP(-SUM(I46:I47)),SUM(I46:I47)),".")</f>
        <v>7.2462142826362091E-10</v>
      </c>
      <c r="M45" s="46">
        <f>IFERROR(IF(SUM(J46:J47)&gt;0.01,1-EXP(-SUM(J46:J47)),SUM(J46:J47)),".")</f>
        <v>5.0730781091490867E-8</v>
      </c>
      <c r="N45" s="46">
        <f>IFERROR(IF(SUM(H46:J47)&gt;0.01,1-EXP(-SUM(H46:J47)),SUM(H46:J47)),".")</f>
        <v>5.4077500019754491E-8</v>
      </c>
      <c r="O45" s="27">
        <f>IFERROR(IF(AND(O46&lt;&gt;0,O47&lt;&gt;0),1/SUM(1/O46,1/O47),IF(AND(O46&lt;&gt;0,O47=0),1/(1/O46),IF(AND(O46=0,O47&lt;&gt;0),1/(1/O47),IF(AND(O46=0,O47=0),".")))),".")</f>
        <v>381.37407171167359</v>
      </c>
      <c r="P45" s="27">
        <f t="shared" ref="P45:R45" si="76">IFERROR(IF(AND(P46&lt;&gt;0,P47&lt;&gt;0),1/SUM(1/P46,1/P47),IF(AND(P46&lt;&gt;0,P47=0),1/(1/P46),IF(AND(P46=0,P47&lt;&gt;0),1/(1/P47),IF(AND(P46=0,P47=0),".")))),".")</f>
        <v>211034.97988822628</v>
      </c>
      <c r="Q45" s="27">
        <f t="shared" si="76"/>
        <v>19.711898348194978</v>
      </c>
      <c r="R45" s="28">
        <f t="shared" si="76"/>
        <v>18.741466608803815</v>
      </c>
      <c r="S45" s="45"/>
      <c r="T45" s="45"/>
      <c r="U45" s="45"/>
      <c r="V45" s="46">
        <f>IFERROR(IF(SUM(S46:S47)&gt;0.01,1-EXP(-SUM(S46:S47)),SUM(S46:S47)),".")</f>
        <v>2.6220974999999999E-9</v>
      </c>
      <c r="W45" s="46">
        <f>IFERROR(IF(SUM(T46:T47)&gt;0.01,1-EXP(-SUM(T46:T47)),SUM(T46:T47)),".")</f>
        <v>4.7385509289959665E-12</v>
      </c>
      <c r="X45" s="46">
        <f>IFERROR(IF(SUM(U46:U47)&gt;0.01,1-EXP(-SUM(U46:U47)),SUM(U46:U47)),".")</f>
        <v>5.0730781091490867E-8</v>
      </c>
      <c r="Y45" s="46">
        <f>IFERROR(IF(SUM(S46:U47)&gt;0.01,1-EXP(-SUM(S46:U47)),SUM(S46:U47)),".")</f>
        <v>5.3357617142419862E-8</v>
      </c>
      <c r="Z45" s="27">
        <f t="shared" ref="Z45:AQ45" si="77">IFERROR(IF(AND(Z46&lt;&gt;0,Z47&lt;&gt;0),1/SUM(1/Z46,1/Z47),IF(AND(Z46&lt;&gt;0,Z47=0),1/(1/Z46),IF(AND(Z46=0,Z47&lt;&gt;0),1/(1/Z47),IF(AND(Z46=0,Z47=0),".")))),".")</f>
        <v>19.711898348194978</v>
      </c>
      <c r="AA45" s="27">
        <f t="shared" si="77"/>
        <v>181.67568816862197</v>
      </c>
      <c r="AB45" s="27">
        <f t="shared" si="77"/>
        <v>44.387690000566565</v>
      </c>
      <c r="AC45" s="27">
        <f t="shared" si="77"/>
        <v>22.208911712534981</v>
      </c>
      <c r="AD45" s="27">
        <f t="shared" si="77"/>
        <v>276.41839957705429</v>
      </c>
      <c r="AE45" s="45"/>
      <c r="AF45" s="45"/>
      <c r="AG45" s="45"/>
      <c r="AH45" s="45"/>
      <c r="AI45" s="45"/>
      <c r="AJ45" s="46">
        <f>IFERROR(IF(SUM(AE46:AE47)&gt;0.01,1-EXP(-SUM(AE46:AE47)),SUM(AE46:AE47)),".")</f>
        <v>5.0730781091490867E-8</v>
      </c>
      <c r="AK45" s="46">
        <f t="shared" ref="AK45:AN45" si="78">IFERROR(IF(SUM(AF46:AF47)&gt;0.01,1-EXP(-SUM(AF46:AF47)),SUM(AF46:AF47)),".")</f>
        <v>5.5043138137000035E-9</v>
      </c>
      <c r="AL45" s="46">
        <f t="shared" si="78"/>
        <v>2.25287686740904E-8</v>
      </c>
      <c r="AM45" s="46">
        <f t="shared" si="78"/>
        <v>4.5026969936378641E-8</v>
      </c>
      <c r="AN45" s="46">
        <f t="shared" si="78"/>
        <v>3.6177041815237064E-9</v>
      </c>
      <c r="AO45" s="27">
        <f t="shared" si="77"/>
        <v>1.7780938833570412</v>
      </c>
      <c r="AP45" s="27">
        <f t="shared" si="77"/>
        <v>1838.4478564861822</v>
      </c>
      <c r="AQ45" s="28">
        <f t="shared" si="77"/>
        <v>1.7763758237582201</v>
      </c>
      <c r="AR45" s="45"/>
      <c r="AS45" s="45"/>
      <c r="AT45" s="46">
        <f>IFERROR(IF(SUM(AR46:AR47)&gt;0.01,1-EXP(-SUM(AR46:AR47)),SUM(AR46:AR47)),".")</f>
        <v>5.6240000000000001E-7</v>
      </c>
      <c r="AU45" s="46">
        <f>IFERROR(IF(SUM(AS46:AS47)&gt;0.01,1-EXP(-SUM(AS46:AS47)),SUM(AS46:AS47)),".")</f>
        <v>5.4393710241599997E-10</v>
      </c>
      <c r="AV45" s="46">
        <f t="shared" ref="AV45" si="79">IFERROR(IF(SUM(AT46:AT47)&gt;0.01,1-EXP(-SUM(AT46:AT47)),SUM(AT46:AT47)),".")</f>
        <v>5.6240000000000001E-7</v>
      </c>
    </row>
    <row r="46" spans="1:48" x14ac:dyDescent="0.25">
      <c r="A46" s="29" t="s">
        <v>303</v>
      </c>
      <c r="B46" s="24">
        <v>1</v>
      </c>
      <c r="C46" s="2"/>
      <c r="D46" s="30">
        <f>IFERROR(D10/$B46,0)</f>
        <v>381.37407171167354</v>
      </c>
      <c r="E46" s="30">
        <f>IFERROR(E10/$B46,0)</f>
        <v>1380.0309527089985</v>
      </c>
      <c r="F46" s="30">
        <f>IFERROR(F10/$B46,0)</f>
        <v>107701.35622940498</v>
      </c>
      <c r="G46" s="30">
        <f t="shared" si="63"/>
        <v>297.97343537085982</v>
      </c>
      <c r="H46" s="38">
        <f>IFERROR(RadSpec!$I$10*H10,".")*$B$46</f>
        <v>2.6220974999999999E-9</v>
      </c>
      <c r="I46" s="38">
        <f>IFERROR(RadSpec!$G$10*I10,".")*$B$46</f>
        <v>7.2462142826362091E-10</v>
      </c>
      <c r="J46" s="38">
        <f>IFERROR(RadSpec!$F$10*J10,".")*$B$46</f>
        <v>9.2849341457686942E-12</v>
      </c>
      <c r="K46" s="47">
        <f t="shared" ref="K46:M47" si="80">IFERROR(IF(H46&gt;0.01,1-EXP(-H46),H46),".")</f>
        <v>2.6220974999999999E-9</v>
      </c>
      <c r="L46" s="47">
        <f t="shared" si="80"/>
        <v>7.2462142826362091E-10</v>
      </c>
      <c r="M46" s="47">
        <f t="shared" si="80"/>
        <v>9.2849341457686942E-12</v>
      </c>
      <c r="N46" s="47">
        <f t="shared" ref="N46:N47" si="81">IFERROR(IF(SUM(H46:J46)&gt;0.01,1-EXP(-SUM(H46:J46)),SUM(H46:J46)),".")</f>
        <v>3.3560038624093896E-9</v>
      </c>
      <c r="O46" s="30">
        <f>IFERROR(O10/$B46,0)</f>
        <v>381.37407171167354</v>
      </c>
      <c r="P46" s="30">
        <f>IFERROR(P10/$B46,0)</f>
        <v>211034.97988822628</v>
      </c>
      <c r="Q46" s="30">
        <f>IFERROR(Q10/$B46,0)</f>
        <v>107701.35622940498</v>
      </c>
      <c r="R46" s="30">
        <f t="shared" ref="R46:R47" si="82">IF(AND(O46&lt;&gt;0,P46&lt;&gt;0,Q46&lt;&gt;0),1/((1/O46)+(1/P46)+(1/Q46)),IF(AND(O46&lt;&gt;0,P46&lt;&gt;0,Q46=0), 1/((1/O46)+(1/P46)),IF(AND(O46&lt;&gt;0,P46=0,Q46&lt;&gt;0),1/((1/O46)+(1/Q46)),IF(AND(O46=0,P46&lt;&gt;0,Q46&lt;&gt;0),1/((1/P46)+(1/Q46)),IF(AND(O46&lt;&gt;0,P46=0,Q46=0),1/((1/O46)),IF(AND(O46=0,P46&lt;&gt;0,Q46=0),1/((1/P46)),IF(AND(O46=0,P46=0,Q46&lt;&gt;0),1/((1/Q46)),IF(AND(O46=0,P46=0,Q46=0),0))))))))</f>
        <v>379.34525981994659</v>
      </c>
      <c r="S46" s="38">
        <f>IFERROR(RadSpec!$I$10*S10,".")*$B$46</f>
        <v>2.6220974999999999E-9</v>
      </c>
      <c r="T46" s="38">
        <f>IFERROR(RadSpec!$G$10*T10,".")*$B$46</f>
        <v>4.7385509289959665E-12</v>
      </c>
      <c r="U46" s="38">
        <f>IFERROR(RadSpec!$F$10*U10,".")*$B$46</f>
        <v>9.2849341457686942E-12</v>
      </c>
      <c r="V46" s="47">
        <f t="shared" ref="V46:V47" si="83">IFERROR(IF(S46&gt;0.01,1-EXP(-S46),S46),".")</f>
        <v>2.6220974999999999E-9</v>
      </c>
      <c r="W46" s="47">
        <f t="shared" ref="W46:W47" si="84">IFERROR(IF(T46&gt;0.01,1-EXP(-T46),T46),".")</f>
        <v>4.7385509289959665E-12</v>
      </c>
      <c r="X46" s="47">
        <f t="shared" ref="X46:X47" si="85">IFERROR(IF(U46&gt;0.01,1-EXP(-U46),U46),".")</f>
        <v>9.2849341457686942E-12</v>
      </c>
      <c r="Y46" s="47">
        <f t="shared" ref="Y46:Y47" si="86">IFERROR(IF(SUM(S46:U46)&gt;0.01,1-EXP(-SUM(S46:U46)),SUM(S46:U46)),".")</f>
        <v>2.6361209850747647E-9</v>
      </c>
      <c r="Z46" s="30">
        <f t="shared" ref="Z46:AP46" si="87">IFERROR(Z10/$B46,0)</f>
        <v>107701.35622940498</v>
      </c>
      <c r="AA46" s="30">
        <f t="shared" si="87"/>
        <v>462615.86678762984</v>
      </c>
      <c r="AB46" s="30">
        <f t="shared" si="87"/>
        <v>144109.71184378301</v>
      </c>
      <c r="AC46" s="30">
        <f t="shared" si="87"/>
        <v>97464.806878762844</v>
      </c>
      <c r="AD46" s="30">
        <f t="shared" si="87"/>
        <v>236855.46841726691</v>
      </c>
      <c r="AE46" s="38">
        <f>IFERROR(RadSpec!$F$10*AE10,".")*$B46</f>
        <v>9.2849341457686942E-12</v>
      </c>
      <c r="AF46" s="38">
        <f>IFERROR(RadSpec!$M$10*AF10,".")*$B46</f>
        <v>2.1616206269446081E-12</v>
      </c>
      <c r="AG46" s="38">
        <f>IFERROR(RadSpec!$N$10*AG10,".")*$B46</f>
        <v>6.9391575849101285E-12</v>
      </c>
      <c r="AH46" s="38">
        <f>IFERROR(RadSpec!$O$10*AH10,".")*$B46</f>
        <v>1.0260113696669066E-11</v>
      </c>
      <c r="AI46" s="38">
        <f>IFERROR(RadSpec!$K$10*AI10,".")*$B46</f>
        <v>4.2219840085697568E-12</v>
      </c>
      <c r="AJ46" s="47">
        <f t="shared" ref="AJ46:AN47" si="88">IFERROR(IF(AE46&gt;0.01,1-EXP(-AE46),AE46),".")</f>
        <v>9.2849341457686942E-12</v>
      </c>
      <c r="AK46" s="47">
        <f t="shared" si="88"/>
        <v>2.1616206269446081E-12</v>
      </c>
      <c r="AL46" s="47">
        <f t="shared" si="88"/>
        <v>6.9391575849101285E-12</v>
      </c>
      <c r="AM46" s="47">
        <f t="shared" si="88"/>
        <v>1.0260113696669066E-11</v>
      </c>
      <c r="AN46" s="47">
        <f t="shared" si="88"/>
        <v>4.2219840085697568E-12</v>
      </c>
      <c r="AO46" s="30">
        <f t="shared" si="87"/>
        <v>1.7780938833570412</v>
      </c>
      <c r="AP46" s="30">
        <f t="shared" si="87"/>
        <v>2698693.8484434532</v>
      </c>
      <c r="AQ46" s="30">
        <f t="shared" ref="AQ46:AQ47" si="89">IFERROR(IF(AND(AO46&lt;&gt;0,AP46&lt;&gt;0),1/((1/AO46)+(1/AP46)),IF(AND(AO46&lt;&gt;0,AP46=0),1/((1/AO46)),IF(AND(AO46=0,AP46&lt;&gt;0),1/((1/AP46)),IF(AND(AO46=0,AP46=0),0)))),0)</f>
        <v>1.7780927118214938</v>
      </c>
      <c r="AR46" s="38">
        <f>IFERROR(RadSpec!$G$10*AR10,".")*$B$46</f>
        <v>5.6240000000000001E-7</v>
      </c>
      <c r="AS46" s="38">
        <f>IFERROR(RadSpec!$J$10*AS10,".")*$B$46</f>
        <v>3.7054962739726025E-13</v>
      </c>
      <c r="AT46" s="47">
        <f>IFERROR(IF(AR46&gt;0.01,1-EXP(-AR46),AR46),".")</f>
        <v>5.6240000000000001E-7</v>
      </c>
      <c r="AU46" s="47">
        <f>IFERROR(IF(AS46&gt;0.01,1-EXP(-AS46),AS46),".")</f>
        <v>3.7054962739726025E-13</v>
      </c>
      <c r="AV46" s="47">
        <f>IFERROR(IF(SUM(AR46:AS46)&gt;0.01,1-EXP(-SUM(AR46:AS46)),SUM(AR46:AS46)),".")</f>
        <v>5.6240037054962737E-7</v>
      </c>
    </row>
    <row r="47" spans="1:48" x14ac:dyDescent="0.25">
      <c r="A47" s="29" t="s">
        <v>304</v>
      </c>
      <c r="B47" s="32">
        <v>0.94399</v>
      </c>
      <c r="C47" s="2"/>
      <c r="D47" s="30">
        <f>IFERROR(D6/$B$47,0)</f>
        <v>0</v>
      </c>
      <c r="E47" s="30">
        <f>IFERROR(E6/$B$47,0)</f>
        <v>0</v>
      </c>
      <c r="F47" s="30">
        <f>IFERROR(F6/$B$47,0)</f>
        <v>19.715506752755509</v>
      </c>
      <c r="G47" s="30">
        <f t="shared" si="63"/>
        <v>19.715506752755509</v>
      </c>
      <c r="H47" s="38">
        <f>IFERROR(RadSpec!$I$6*H6,".")*$B$47</f>
        <v>0</v>
      </c>
      <c r="I47" s="38">
        <f>IFERROR(RadSpec!$G$6*I6,".")*$B$47</f>
        <v>0</v>
      </c>
      <c r="J47" s="38">
        <f>IFERROR(RadSpec!$F$6*J6,".")*$B$47</f>
        <v>5.0721496157345099E-8</v>
      </c>
      <c r="K47" s="47">
        <f t="shared" si="80"/>
        <v>0</v>
      </c>
      <c r="L47" s="47">
        <f t="shared" si="80"/>
        <v>0</v>
      </c>
      <c r="M47" s="47">
        <f t="shared" si="80"/>
        <v>5.0721496157345099E-8</v>
      </c>
      <c r="N47" s="47">
        <f t="shared" si="81"/>
        <v>5.0721496157345099E-8</v>
      </c>
      <c r="O47" s="30">
        <f>IFERROR(O6/$B$47,0)</f>
        <v>0</v>
      </c>
      <c r="P47" s="30">
        <f>IFERROR(P6/$B$47,0)</f>
        <v>0</v>
      </c>
      <c r="Q47" s="30">
        <f>IFERROR(Q6/$B$47,0)</f>
        <v>19.715506752755509</v>
      </c>
      <c r="R47" s="30">
        <f t="shared" si="82"/>
        <v>19.715506752755509</v>
      </c>
      <c r="S47" s="38">
        <f>IFERROR(RadSpec!$I$6*S6,".")*$B$47</f>
        <v>0</v>
      </c>
      <c r="T47" s="38">
        <f>IFERROR(RadSpec!$G$6*T6,".")*$B$47</f>
        <v>0</v>
      </c>
      <c r="U47" s="38">
        <f>IFERROR(RadSpec!$F$6*U6,".")*$B$47</f>
        <v>5.0721496157345099E-8</v>
      </c>
      <c r="V47" s="47">
        <f t="shared" si="83"/>
        <v>0</v>
      </c>
      <c r="W47" s="47">
        <f t="shared" si="84"/>
        <v>0</v>
      </c>
      <c r="X47" s="47">
        <f t="shared" si="85"/>
        <v>5.0721496157345099E-8</v>
      </c>
      <c r="Y47" s="47">
        <f t="shared" si="86"/>
        <v>5.0721496157345099E-8</v>
      </c>
      <c r="Z47" s="30">
        <f t="shared" ref="Z47:AP47" si="90">IFERROR(Z6/$B$47,0)</f>
        <v>19.715506752755509</v>
      </c>
      <c r="AA47" s="30">
        <f t="shared" si="90"/>
        <v>181.74706276917445</v>
      </c>
      <c r="AB47" s="30">
        <f t="shared" si="90"/>
        <v>44.401366206379173</v>
      </c>
      <c r="AC47" s="30">
        <f t="shared" si="90"/>
        <v>22.213973520920074</v>
      </c>
      <c r="AD47" s="30">
        <f t="shared" si="90"/>
        <v>276.74136617793897</v>
      </c>
      <c r="AE47" s="38">
        <f>IFERROR(RadSpec!$F$6*AE6,".")*$B47</f>
        <v>5.0721496157345099E-8</v>
      </c>
      <c r="AF47" s="38">
        <f>IFERROR(RadSpec!$M$6*AF6,".")*$B47</f>
        <v>5.5021521930730588E-9</v>
      </c>
      <c r="AG47" s="38">
        <f>IFERROR(RadSpec!$N$6*AG6,".")*$B47</f>
        <v>2.2521829516505491E-8</v>
      </c>
      <c r="AH47" s="38">
        <f>IFERROR(RadSpec!$O$6*AH6,".")*$B47</f>
        <v>4.501670982268197E-8</v>
      </c>
      <c r="AI47" s="38">
        <f>IFERROR(RadSpec!$K$6*AI6,".")*$B47</f>
        <v>3.6134821975151367E-9</v>
      </c>
      <c r="AJ47" s="47">
        <f t="shared" si="88"/>
        <v>5.0721496157345099E-8</v>
      </c>
      <c r="AK47" s="47">
        <f t="shared" si="88"/>
        <v>5.5021521930730588E-9</v>
      </c>
      <c r="AL47" s="47">
        <f t="shared" si="88"/>
        <v>2.2521829516505491E-8</v>
      </c>
      <c r="AM47" s="47">
        <f t="shared" si="88"/>
        <v>4.501670982268197E-8</v>
      </c>
      <c r="AN47" s="47">
        <f t="shared" si="88"/>
        <v>3.6134821975151367E-9</v>
      </c>
      <c r="AO47" s="30">
        <f t="shared" si="90"/>
        <v>0</v>
      </c>
      <c r="AP47" s="30">
        <f t="shared" si="90"/>
        <v>1839.7011274328866</v>
      </c>
      <c r="AQ47" s="30">
        <f t="shared" si="89"/>
        <v>1839.7011274328868</v>
      </c>
      <c r="AR47" s="38">
        <f>IFERROR(RadSpec!$G$6*AR6,".")*$B$47</f>
        <v>0</v>
      </c>
      <c r="AS47" s="38">
        <f>IFERROR(RadSpec!$J$6*AS6,".")*$B$47</f>
        <v>5.4356655278860271E-10</v>
      </c>
      <c r="AT47" s="47">
        <f>IFERROR(IF(AR47&gt;0.01,1-EXP(-AR47),AR47),".")</f>
        <v>0</v>
      </c>
      <c r="AU47" s="47">
        <f>IFERROR(IF(AS47&gt;0.01,1-EXP(-AS47),AS47),".")</f>
        <v>5.4356655278860271E-10</v>
      </c>
      <c r="AV47" s="47">
        <f>IFERROR(IF(SUM(AR47:AS47)&gt;0.01,1-EXP(-SUM(AR47:AS47)),SUM(AR47:AS47)),".")</f>
        <v>5.4356655278860271E-10</v>
      </c>
    </row>
    <row r="48" spans="1:48" x14ac:dyDescent="0.25">
      <c r="A48" s="26" t="s">
        <v>33</v>
      </c>
      <c r="B48" s="26" t="s">
        <v>289</v>
      </c>
      <c r="C48" s="112"/>
      <c r="D48" s="27">
        <f>1/SUM(1/D49,1/D52,1/D54,1/D58,1/D59,1/D61)</f>
        <v>5.1941565132198235</v>
      </c>
      <c r="E48" s="27">
        <f>1/SUM(1/E49,1/E50,1/E51,1/E52,1/E54,1/E58,1/E59,1/E61)</f>
        <v>2.62450756225646</v>
      </c>
      <c r="F48" s="27">
        <f>1/SUM(1/F49,1/F50,1/F51,1/F52,1/F53,1/F54,1/F55,1/F56,1/F57,1/F58,1/F59,1/F60,1/F61,1/F62)</f>
        <v>5.6777600969620279</v>
      </c>
      <c r="G48" s="28">
        <f>1/SUM(1/G49,1/G50,1/G51,1/G52,1/G53,1/G54,1/G55,1/G56,1/G57,1/G58,1/G59,1/G60,1/G61,1/G62)</f>
        <v>1.3339136870950741</v>
      </c>
      <c r="H48" s="45"/>
      <c r="I48" s="45"/>
      <c r="J48" s="45"/>
      <c r="K48" s="46">
        <f>IFERROR(IF(SUM(H49:H62)&gt;0.01,1-EXP(-SUM(H49:H62)),SUM(H49:H62)),".")</f>
        <v>1.9252404070899021E-7</v>
      </c>
      <c r="L48" s="46">
        <f>IFERROR(IF(SUM(I49:I62)&gt;0.01,1-EXP(-SUM(I49:I62)),SUM(I49:I62)),".")</f>
        <v>3.8102385924932725E-7</v>
      </c>
      <c r="M48" s="46">
        <f>IFERROR(IF(SUM(J49:J62)&gt;0.01,1-EXP(-SUM(J49:J62)),SUM(J49:J62)),".")</f>
        <v>1.7612579308080751E-7</v>
      </c>
      <c r="N48" s="46">
        <f>IFERROR(IF(SUM(H49:J62)&gt;0.01,1-EXP(-SUM(H49:J62)),SUM(H49:J62)),".")</f>
        <v>7.4967369303912495E-7</v>
      </c>
      <c r="O48" s="27">
        <f>1/SUM(1/O49,1/O52,1/O54,1/O58,1/O59,1/O61)</f>
        <v>5.1941565132198235</v>
      </c>
      <c r="P48" s="27">
        <f>1/SUM(1/P49,1/P50,1/P51,1/P52,1/P54,1/P58,1/P59,1/P61)</f>
        <v>401.34092610753243</v>
      </c>
      <c r="Q48" s="27">
        <f>1/SUM(1/Q49,1/Q50,1/Q51,1/Q52,1/Q53,1/Q54,1/Q55,1/Q56,1/Q57,1/Q58,1/Q59,1/Q60,1/Q61,1/Q62)</f>
        <v>5.6777600969620279</v>
      </c>
      <c r="R48" s="28">
        <f>1/SUM(1/R49,1/R50,1/R51,1/R52,1/R53,1/R54,1/R55,1/R56,1/R57,1/R58,1/R59,1/R60,1/R61,1/R62)</f>
        <v>2.6943902829133042</v>
      </c>
      <c r="S48" s="45"/>
      <c r="T48" s="45"/>
      <c r="U48" s="45"/>
      <c r="V48" s="46">
        <f>IFERROR(IF(SUM(S49:S62)&gt;0.01,1-EXP(-SUM(S49:S62)),SUM(S49:S62)),".")</f>
        <v>1.9252404070899021E-7</v>
      </c>
      <c r="W48" s="46">
        <f>IFERROR(IF(SUM(T49:T62)&gt;0.01,1-EXP(-SUM(T49:T62)),SUM(T49:T62)),".")</f>
        <v>2.4916472130033087E-9</v>
      </c>
      <c r="X48" s="46">
        <f>IFERROR(IF(SUM(U49:U62)&gt;0.01,1-EXP(-SUM(U49:U62)),SUM(U49:U62)),".")</f>
        <v>1.7612579308080751E-7</v>
      </c>
      <c r="Y48" s="46">
        <f>IFERROR(IF(SUM(S49:U62)&gt;0.01,1-EXP(-SUM(S49:U62)),SUM(S49:U62)),".")</f>
        <v>3.7114148100280108E-7</v>
      </c>
      <c r="Z48" s="27">
        <f t="shared" ref="Z48:AD48" si="91">1/SUM(1/Z49,1/Z50,1/Z51,1/Z52,1/Z53,1/Z54,1/Z55,1/Z56,1/Z57,1/Z58,1/Z59,1/Z60,1/Z61,1/Z62)</f>
        <v>5.6777600969620279</v>
      </c>
      <c r="AA48" s="27">
        <f t="shared" si="91"/>
        <v>63.418940547951138</v>
      </c>
      <c r="AB48" s="27">
        <f t="shared" si="91"/>
        <v>14.860844975838075</v>
      </c>
      <c r="AC48" s="27">
        <f t="shared" si="91"/>
        <v>7.3186485319639045</v>
      </c>
      <c r="AD48" s="27">
        <f t="shared" si="91"/>
        <v>93.025111333815715</v>
      </c>
      <c r="AE48" s="45"/>
      <c r="AF48" s="45"/>
      <c r="AG48" s="45"/>
      <c r="AH48" s="45"/>
      <c r="AI48" s="45"/>
      <c r="AJ48" s="46">
        <f>IFERROR(IF(SUM(AE49:AE62)&gt;0.01,1-EXP(-SUM(AE49:AE62)),SUM(AE49:AE62)),".")</f>
        <v>1.7612579308080751E-7</v>
      </c>
      <c r="AK48" s="46">
        <f t="shared" ref="AK48:AN48" si="92">IFERROR(IF(SUM(AF49:AF62)&gt;0.01,1-EXP(-SUM(AF49:AF62)),SUM(AF49:AF62)),".")</f>
        <v>1.576816007426729E-8</v>
      </c>
      <c r="AL48" s="46">
        <f t="shared" si="92"/>
        <v>6.7290924683345954E-8</v>
      </c>
      <c r="AM48" s="46">
        <f t="shared" si="92"/>
        <v>1.3663724875331011E-7</v>
      </c>
      <c r="AN48" s="46">
        <f t="shared" si="92"/>
        <v>1.0749785384783326E-8</v>
      </c>
      <c r="AO48" s="27">
        <f>1/SUM(1/AO49,1/AO50,1/AO51,1/AO52,1/AO54,1/AO58,1/AO59,1/AO61)</f>
        <v>3.3815334606169087E-3</v>
      </c>
      <c r="AP48" s="27">
        <f t="shared" ref="AP48:AQ48" si="93">1/SUM(1/AP49,1/AP50,1/AP51,1/AP52,1/AP53,1/AP54,1/AP55,1/AP56,1/AP57,1/AP58,1/AP59,1/AP60,1/AP61,1/AP62)</f>
        <v>565.01552810206545</v>
      </c>
      <c r="AQ48" s="28">
        <f t="shared" si="93"/>
        <v>3.3815132227658384E-3</v>
      </c>
      <c r="AR48" s="45"/>
      <c r="AS48" s="45"/>
      <c r="AT48" s="46">
        <f>IFERROR(IF(SUM(AR49:AR62)&gt;0.01,1-EXP(-SUM(AR49:AR62)),SUM(AR49:AR62)),".")</f>
        <v>2.9572382223820001E-4</v>
      </c>
      <c r="AU48" s="46">
        <f>IFERROR(IF(SUM(AS49:AS62)&gt;0.01,1-EXP(-SUM(AS49:AS62)),SUM(AS49:AS62)),".")</f>
        <v>1.769862862635092E-9</v>
      </c>
      <c r="AV48" s="46">
        <f>IFERROR(IF(SUM(AR49:AS62)&gt;0.01,1-EXP(-SUM(AR49:AS62)),SUM(AR49:AS62)),".")</f>
        <v>2.9572559210106256E-4</v>
      </c>
    </row>
    <row r="49" spans="1:48" x14ac:dyDescent="0.25">
      <c r="A49" s="29" t="s">
        <v>305</v>
      </c>
      <c r="B49" s="24">
        <v>1</v>
      </c>
      <c r="C49" s="109"/>
      <c r="D49" s="30">
        <f>IFERROR(D23/$B49,0)</f>
        <v>41.155820050292412</v>
      </c>
      <c r="E49" s="30">
        <f>IFERROR(E23/$B49,0)</f>
        <v>5.5128700344748429</v>
      </c>
      <c r="F49" s="30">
        <f>IFERROR(F23/$B49,0)</f>
        <v>2215.8010025532585</v>
      </c>
      <c r="G49" s="30">
        <f t="shared" si="63"/>
        <v>4.8510032908144867</v>
      </c>
      <c r="H49" s="38">
        <f>IFERROR(RadSpec!$I$23*H23,".")*$B$49</f>
        <v>2.4297899999999998E-8</v>
      </c>
      <c r="I49" s="38">
        <f>IFERROR(RadSpec!$G$23*I23,".")*$B$49</f>
        <v>1.8139371937783406E-7</v>
      </c>
      <c r="J49" s="38">
        <f>IFERROR(RadSpec!$F$23*J23,".")*$B$49</f>
        <v>4.5130406514290056E-10</v>
      </c>
      <c r="K49" s="47">
        <f t="shared" ref="K49:M62" si="94">IFERROR(IF(H49&gt;0.01,1-EXP(-H49),H49),".")</f>
        <v>2.4297899999999998E-8</v>
      </c>
      <c r="L49" s="47">
        <f t="shared" si="94"/>
        <v>1.8139371937783406E-7</v>
      </c>
      <c r="M49" s="47">
        <f t="shared" si="94"/>
        <v>4.5130406514290056E-10</v>
      </c>
      <c r="N49" s="47">
        <f t="shared" ref="N49:N62" si="95">IFERROR(IF(SUM(H49:J49)&gt;0.01,1-EXP(-SUM(H49:J49)),SUM(H49:J49)),".")</f>
        <v>2.0614292344297696E-7</v>
      </c>
      <c r="O49" s="30">
        <f>IFERROR(O23/$B49,0)</f>
        <v>41.155820050292412</v>
      </c>
      <c r="P49" s="30">
        <f>IFERROR(P23/$B49,0)</f>
        <v>843.03066867307223</v>
      </c>
      <c r="Q49" s="30">
        <f>IFERROR(Q23/$B49,0)</f>
        <v>2215.8010025532585</v>
      </c>
      <c r="R49" s="30">
        <f t="shared" ref="R49:R61" si="96">IF(AND(O49&lt;&gt;0,P49&lt;&gt;0,Q49&lt;&gt;0),1/((1/O49)+(1/P49)+(1/Q49)),IF(AND(O49&lt;&gt;0,P49&lt;&gt;0,Q49=0), 1/((1/O49)+(1/P49)),IF(AND(O49&lt;&gt;0,P49=0,Q49&lt;&gt;0),1/((1/O49)+(1/Q49)),IF(AND(O49=0,P49&lt;&gt;0,Q49&lt;&gt;0),1/((1/P49)+(1/Q49)),IF(AND(O49&lt;&gt;0,P49=0,Q49=0),1/((1/O49)),IF(AND(O49=0,P49&lt;&gt;0,Q49=0),1/((1/P49)),IF(AND(O49=0,P49=0,Q49&lt;&gt;0),1/((1/Q49)),IF(AND(O49=0,P49=0,Q49=0),0))))))))</f>
        <v>38.557337828466494</v>
      </c>
      <c r="S49" s="38">
        <f>IFERROR(RadSpec!$I$23*S23,".")*$B$49</f>
        <v>2.4297899999999998E-8</v>
      </c>
      <c r="T49" s="38">
        <f>IFERROR(RadSpec!$G$23*T23,".")*$B$49</f>
        <v>1.1861964661072141E-9</v>
      </c>
      <c r="U49" s="38">
        <f>IFERROR(RadSpec!$F$23*U23,".")*$B$49</f>
        <v>4.5130406514290056E-10</v>
      </c>
      <c r="V49" s="47">
        <f t="shared" ref="V49:V62" si="97">IFERROR(IF(S49&gt;0.01,1-EXP(-S49),S49),".")</f>
        <v>2.4297899999999998E-8</v>
      </c>
      <c r="W49" s="47">
        <f t="shared" ref="W49:W62" si="98">IFERROR(IF(T49&gt;0.01,1-EXP(-T49),T49),".")</f>
        <v>1.1861964661072141E-9</v>
      </c>
      <c r="X49" s="47">
        <f t="shared" ref="X49:X62" si="99">IFERROR(IF(U49&gt;0.01,1-EXP(-U49),U49),".")</f>
        <v>4.5130406514290056E-10</v>
      </c>
      <c r="Y49" s="47">
        <f t="shared" ref="Y49:Y62" si="100">IFERROR(IF(SUM(S49:U49)&gt;0.01,1-EXP(-SUM(S49:U49)),SUM(S49:U49)),".")</f>
        <v>2.5935400531250113E-8</v>
      </c>
      <c r="Z49" s="30">
        <f t="shared" ref="Z49:AP49" si="101">IFERROR(Z23/$B49,0)</f>
        <v>2215.8010025532585</v>
      </c>
      <c r="AA49" s="30">
        <f t="shared" si="101"/>
        <v>12605.713437677985</v>
      </c>
      <c r="AB49" s="30">
        <f t="shared" si="101"/>
        <v>3532.2057597787625</v>
      </c>
      <c r="AC49" s="30">
        <f t="shared" si="101"/>
        <v>2075.4834458618898</v>
      </c>
      <c r="AD49" s="30">
        <f t="shared" si="101"/>
        <v>14176.377572692578</v>
      </c>
      <c r="AE49" s="38">
        <f>IFERROR(RadSpec!$F$23*AE23,".")*$B$49</f>
        <v>4.5130406514290056E-10</v>
      </c>
      <c r="AF49" s="38">
        <f>IFERROR(RadSpec!$M$23*AF23,".")*$B$49</f>
        <v>7.9329107784652563E-11</v>
      </c>
      <c r="AG49" s="38">
        <f>IFERROR(RadSpec!$N$23*AG23,".")*$B$49</f>
        <v>2.8310921503696157E-10</v>
      </c>
      <c r="AH49" s="38">
        <f>IFERROR(RadSpec!$O$23*AH23,".")*$B$49</f>
        <v>4.8181545460832534E-10</v>
      </c>
      <c r="AI49" s="38">
        <f>IFERROR(RadSpec!$K$23*AI23,".")*$B$49</f>
        <v>7.0539881917808277E-11</v>
      </c>
      <c r="AJ49" s="47">
        <f t="shared" ref="AJ49:AN62" si="102">IFERROR(IF(AE49&gt;0.01,1-EXP(-AE49),AE49),".")</f>
        <v>4.5130406514290056E-10</v>
      </c>
      <c r="AK49" s="47">
        <f t="shared" si="102"/>
        <v>7.9329107784652563E-11</v>
      </c>
      <c r="AL49" s="47">
        <f t="shared" si="102"/>
        <v>2.8310921503696157E-10</v>
      </c>
      <c r="AM49" s="47">
        <f t="shared" si="102"/>
        <v>4.8181545460832534E-10</v>
      </c>
      <c r="AN49" s="47">
        <f t="shared" si="102"/>
        <v>7.0539881917808277E-11</v>
      </c>
      <c r="AO49" s="30">
        <f t="shared" si="101"/>
        <v>7.103029442057038E-3</v>
      </c>
      <c r="AP49" s="30">
        <f t="shared" si="101"/>
        <v>153737.06759575411</v>
      </c>
      <c r="AQ49" s="30">
        <f t="shared" ref="AQ49:AQ62" si="103">IFERROR(IF(AND(AO49&lt;&gt;0,AP49&lt;&gt;0),1/((1/AO49)+(1/AP49)),IF(AND(AO49&lt;&gt;0,AP49=0),1/((1/AO49)),IF(AND(AO49=0,AP49&lt;&gt;0),1/((1/AP49)),IF(AND(AO49=0,AP49=0),0)))),0)</f>
        <v>7.1030291138796777E-3</v>
      </c>
      <c r="AR49" s="38">
        <f>IFERROR(RadSpec!$G$23*AR23,".")*$B$49</f>
        <v>1.4078499999999999E-4</v>
      </c>
      <c r="AS49" s="38">
        <f>IFERROR(RadSpec!$J$23*AS23,".")*$B$49</f>
        <v>6.5046121643835611E-12</v>
      </c>
      <c r="AT49" s="47">
        <f t="shared" ref="AT49:AU62" si="104">IFERROR(IF(AR49&gt;0.01,1-EXP(-AR49),AR49),".")</f>
        <v>1.4078499999999999E-4</v>
      </c>
      <c r="AU49" s="47">
        <f t="shared" si="104"/>
        <v>6.5046121643835611E-12</v>
      </c>
      <c r="AV49" s="47">
        <f t="shared" ref="AV49:AV62" si="105">IFERROR(IF(SUM(AR49:AS49)&gt;0.01,1-EXP(-SUM(AR49:AS49)),SUM(AR49:AS49)),".")</f>
        <v>1.4078500650461216E-4</v>
      </c>
    </row>
    <row r="50" spans="1:48" x14ac:dyDescent="0.25">
      <c r="A50" s="29" t="s">
        <v>306</v>
      </c>
      <c r="B50" s="24">
        <v>1</v>
      </c>
      <c r="C50" s="109"/>
      <c r="D50" s="30">
        <f>IFERROR(D25/$B50,0)</f>
        <v>0</v>
      </c>
      <c r="E50" s="30">
        <f>IFERROR(E25/$B50,0)</f>
        <v>68081.527000310583</v>
      </c>
      <c r="F50" s="30">
        <f>IFERROR(F25/$B50,0)</f>
        <v>29759.22754488196</v>
      </c>
      <c r="G50" s="30">
        <f t="shared" si="63"/>
        <v>20707.66587015062</v>
      </c>
      <c r="H50" s="38">
        <f>IFERROR(RadSpec!$I$25*H25,".")*$B$50</f>
        <v>0</v>
      </c>
      <c r="I50" s="38">
        <f>IFERROR(RadSpec!$G$25*I25,".")*$B$50</f>
        <v>1.4688272194532857E-11</v>
      </c>
      <c r="J50" s="38">
        <f>IFERROR(RadSpec!$F$25*J25,".")*$B$50</f>
        <v>3.3603022742839357E-11</v>
      </c>
      <c r="K50" s="47">
        <f t="shared" si="94"/>
        <v>0</v>
      </c>
      <c r="L50" s="47">
        <f t="shared" si="94"/>
        <v>1.4688272194532857E-11</v>
      </c>
      <c r="M50" s="47">
        <f t="shared" si="94"/>
        <v>3.3603022742839357E-11</v>
      </c>
      <c r="N50" s="47">
        <f t="shared" si="95"/>
        <v>4.8291294937372217E-11</v>
      </c>
      <c r="O50" s="30">
        <f>IFERROR(O25/$B50,0)</f>
        <v>0</v>
      </c>
      <c r="P50" s="30">
        <f>IFERROR(P25/$B50,0)</f>
        <v>10411059.007819165</v>
      </c>
      <c r="Q50" s="30">
        <f>IFERROR(Q25/$B50,0)</f>
        <v>29759.22754488196</v>
      </c>
      <c r="R50" s="30">
        <f t="shared" si="96"/>
        <v>29674.405493189839</v>
      </c>
      <c r="S50" s="38">
        <f>IFERROR(RadSpec!$I$25*S25,".")*$B$50</f>
        <v>0</v>
      </c>
      <c r="T50" s="38">
        <f>IFERROR(RadSpec!$G$25*T25,".")*$B$50</f>
        <v>9.6051708020188516E-14</v>
      </c>
      <c r="U50" s="38">
        <f>IFERROR(RadSpec!$F$25*U25,".")*$B$50</f>
        <v>3.3603022742839357E-11</v>
      </c>
      <c r="V50" s="47">
        <f t="shared" si="97"/>
        <v>0</v>
      </c>
      <c r="W50" s="47">
        <f t="shared" si="98"/>
        <v>9.6051708020188516E-14</v>
      </c>
      <c r="X50" s="47">
        <f t="shared" si="99"/>
        <v>3.3603022742839357E-11</v>
      </c>
      <c r="Y50" s="47">
        <f t="shared" si="100"/>
        <v>3.3699074450859548E-11</v>
      </c>
      <c r="Z50" s="30">
        <f t="shared" ref="Z50:AP50" si="106">IFERROR(Z25/$B50,0)</f>
        <v>29759.22754488196</v>
      </c>
      <c r="AA50" s="30">
        <f t="shared" si="106"/>
        <v>258677.37734364095</v>
      </c>
      <c r="AB50" s="30">
        <f t="shared" si="106"/>
        <v>62465.669317942309</v>
      </c>
      <c r="AC50" s="30">
        <f t="shared" si="106"/>
        <v>32993.590197953672</v>
      </c>
      <c r="AD50" s="30">
        <f t="shared" si="106"/>
        <v>398362.96395730542</v>
      </c>
      <c r="AE50" s="38">
        <f>IFERROR(RadSpec!$F$25*AE25,".")*$B$50</f>
        <v>3.3603022742839357E-11</v>
      </c>
      <c r="AF50" s="38">
        <f>IFERROR(RadSpec!$M$25*AF25,".")*$B$50</f>
        <v>3.8658193084722138E-12</v>
      </c>
      <c r="AG50" s="38">
        <f>IFERROR(RadSpec!$N$25*AG25,".")*$B$50</f>
        <v>1.6008793484788055E-11</v>
      </c>
      <c r="AH50" s="38">
        <f>IFERROR(RadSpec!$O$25*AH25,".")*$B$50</f>
        <v>3.0308917398811056E-11</v>
      </c>
      <c r="AI50" s="38">
        <f>IFERROR(RadSpec!$K$25*AI25,".")*$B$50</f>
        <v>2.5102735205755098E-12</v>
      </c>
      <c r="AJ50" s="47">
        <f t="shared" si="102"/>
        <v>3.3603022742839357E-11</v>
      </c>
      <c r="AK50" s="47">
        <f t="shared" si="102"/>
        <v>3.8658193084722138E-12</v>
      </c>
      <c r="AL50" s="47">
        <f t="shared" si="102"/>
        <v>1.6008793484788055E-11</v>
      </c>
      <c r="AM50" s="47">
        <f t="shared" si="102"/>
        <v>3.0308917398811056E-11</v>
      </c>
      <c r="AN50" s="47">
        <f t="shared" si="102"/>
        <v>2.5102735205755098E-12</v>
      </c>
      <c r="AO50" s="30">
        <f t="shared" si="106"/>
        <v>87.719298245614041</v>
      </c>
      <c r="AP50" s="30">
        <f t="shared" si="106"/>
        <v>2698693.8484434532</v>
      </c>
      <c r="AQ50" s="30">
        <f t="shared" si="103"/>
        <v>87.716447079229681</v>
      </c>
      <c r="AR50" s="38">
        <f>IFERROR(RadSpec!$G$25*AR$25,".")*$B$50</f>
        <v>1.14E-8</v>
      </c>
      <c r="AS50" s="38">
        <f>IFERROR(RadSpec!$J$25*AS25,".")*$B$50</f>
        <v>3.7054962739726025E-13</v>
      </c>
      <c r="AT50" s="47">
        <f t="shared" si="104"/>
        <v>1.14E-8</v>
      </c>
      <c r="AU50" s="47">
        <f t="shared" si="104"/>
        <v>3.7054962739726025E-13</v>
      </c>
      <c r="AV50" s="47">
        <f t="shared" si="105"/>
        <v>1.1400370549627397E-8</v>
      </c>
    </row>
    <row r="51" spans="1:48" x14ac:dyDescent="0.25">
      <c r="A51" s="29" t="s">
        <v>307</v>
      </c>
      <c r="B51" s="24">
        <v>1</v>
      </c>
      <c r="C51" s="109"/>
      <c r="D51" s="30">
        <f>IFERROR(D21/$B51,0)</f>
        <v>0</v>
      </c>
      <c r="E51" s="30">
        <f>IFERROR(E21/$B51,0)</f>
        <v>11167.329608684038</v>
      </c>
      <c r="F51" s="30">
        <f>IFERROR(F21/$B51,0)</f>
        <v>711259850.08274543</v>
      </c>
      <c r="G51" s="30">
        <f t="shared" si="63"/>
        <v>11167.154275727209</v>
      </c>
      <c r="H51" s="38">
        <f>IFERROR(RadSpec!$I$21*H21,".")*$B$51</f>
        <v>0</v>
      </c>
      <c r="I51" s="38">
        <f>IFERROR(RadSpec!$G$21*I21,".")*$B$51</f>
        <v>8.9546922589476625E-11</v>
      </c>
      <c r="J51" s="38">
        <f>IFERROR(RadSpec!$F$21*J21,".")*$B$51</f>
        <v>1.4059559243835616E-15</v>
      </c>
      <c r="K51" s="47">
        <f t="shared" si="94"/>
        <v>0</v>
      </c>
      <c r="L51" s="47">
        <f t="shared" si="94"/>
        <v>8.9546922589476625E-11</v>
      </c>
      <c r="M51" s="47">
        <f t="shared" si="94"/>
        <v>1.4059559243835616E-15</v>
      </c>
      <c r="N51" s="47">
        <f t="shared" si="95"/>
        <v>8.9548328545401015E-11</v>
      </c>
      <c r="O51" s="30">
        <f>IFERROR(O21/$B51,0)</f>
        <v>0</v>
      </c>
      <c r="P51" s="30">
        <f>IFERROR(P21/$B51,0)</f>
        <v>1707713.2761027117</v>
      </c>
      <c r="Q51" s="30">
        <f>IFERROR(Q21/$B51,0)</f>
        <v>711259850.08274543</v>
      </c>
      <c r="R51" s="30">
        <f t="shared" si="96"/>
        <v>1703622.9292436785</v>
      </c>
      <c r="S51" s="38">
        <f>IFERROR(RadSpec!$I$21*S21,".")*$B$51</f>
        <v>0</v>
      </c>
      <c r="T51" s="38">
        <f>IFERROR(RadSpec!$G$21*T21,".")*$B$51</f>
        <v>5.8557839538623706E-13</v>
      </c>
      <c r="U51" s="38">
        <f>IFERROR(RadSpec!$F$21*U21,".")*$B$51</f>
        <v>1.4059559243835616E-15</v>
      </c>
      <c r="V51" s="47">
        <f t="shared" si="97"/>
        <v>0</v>
      </c>
      <c r="W51" s="47">
        <f t="shared" si="98"/>
        <v>5.8557839538623706E-13</v>
      </c>
      <c r="X51" s="47">
        <f t="shared" si="99"/>
        <v>1.4059559243835616E-15</v>
      </c>
      <c r="Y51" s="47">
        <f t="shared" si="100"/>
        <v>5.869843513106206E-13</v>
      </c>
      <c r="Z51" s="30">
        <f t="shared" ref="Z51:AP51" si="107">IFERROR(Z21/$B51,0)</f>
        <v>711259850.08274543</v>
      </c>
      <c r="AA51" s="30">
        <f t="shared" si="107"/>
        <v>1712681920.3997734</v>
      </c>
      <c r="AB51" s="30">
        <f t="shared" si="107"/>
        <v>814059125.29001737</v>
      </c>
      <c r="AC51" s="30">
        <f t="shared" si="107"/>
        <v>713695671.48713851</v>
      </c>
      <c r="AD51" s="30">
        <f t="shared" si="107"/>
        <v>918057868.16847777</v>
      </c>
      <c r="AE51" s="38">
        <f>IFERROR(RadSpec!$F$21*AE21,".")*$B$51</f>
        <v>1.4059559243835616E-15</v>
      </c>
      <c r="AF51" s="38">
        <f>IFERROR(RadSpec!$M$21*AF21,".")*$B$51</f>
        <v>6.4875508865753427E-16</v>
      </c>
      <c r="AG51" s="38">
        <f>IFERROR(RadSpec!$N$21*AG21,".")*$B$51</f>
        <v>1.2284120021917808E-15</v>
      </c>
      <c r="AH51" s="38">
        <f>IFERROR(RadSpec!$O$21*AH21,".")*$B$51</f>
        <v>1.4011574399999999E-15</v>
      </c>
      <c r="AI51" s="38">
        <f>IFERROR(RadSpec!$K$21*AI21,".")*$B$51</f>
        <v>9.8033035956164383E-16</v>
      </c>
      <c r="AJ51" s="47">
        <f t="shared" si="102"/>
        <v>1.4059559243835616E-15</v>
      </c>
      <c r="AK51" s="47">
        <f t="shared" si="102"/>
        <v>6.4875508865753427E-16</v>
      </c>
      <c r="AL51" s="47">
        <f t="shared" si="102"/>
        <v>1.2284120021917808E-15</v>
      </c>
      <c r="AM51" s="47">
        <f t="shared" si="102"/>
        <v>1.4011574399999999E-15</v>
      </c>
      <c r="AN51" s="47">
        <f t="shared" si="102"/>
        <v>9.8033035956164383E-16</v>
      </c>
      <c r="AO51" s="30">
        <f t="shared" si="107"/>
        <v>14.388489208633091</v>
      </c>
      <c r="AP51" s="30">
        <f t="shared" si="107"/>
        <v>110981788441.90532</v>
      </c>
      <c r="AQ51" s="30">
        <f t="shared" si="103"/>
        <v>14.388489206767664</v>
      </c>
      <c r="AR51" s="38">
        <f>IFERROR(RadSpec!$G$21*AR21,".")*$B$51</f>
        <v>6.9500000000000007E-8</v>
      </c>
      <c r="AS51" s="38">
        <f>IFERROR(RadSpec!$J$21*AS21,".")*$B$51</f>
        <v>9.0104873424657536E-18</v>
      </c>
      <c r="AT51" s="47">
        <f t="shared" si="104"/>
        <v>6.9500000000000007E-8</v>
      </c>
      <c r="AU51" s="47">
        <f t="shared" si="104"/>
        <v>9.0104873424657536E-18</v>
      </c>
      <c r="AV51" s="47">
        <f t="shared" si="105"/>
        <v>6.9500000009010492E-8</v>
      </c>
    </row>
    <row r="52" spans="1:48" x14ac:dyDescent="0.25">
      <c r="A52" s="29" t="s">
        <v>308</v>
      </c>
      <c r="B52" s="32">
        <v>0.99980000000000002</v>
      </c>
      <c r="C52" s="109"/>
      <c r="D52" s="30">
        <f>IFERROR(D17/$B52,0)</f>
        <v>54977.493418201688</v>
      </c>
      <c r="E52" s="30">
        <f>IFERROR(E17/$B52,0)</f>
        <v>1998.158725190445</v>
      </c>
      <c r="F52" s="30">
        <f>IFERROR(F17/$B52,0)</f>
        <v>54.255805326677596</v>
      </c>
      <c r="G52" s="30">
        <f t="shared" si="63"/>
        <v>52.770845673270706</v>
      </c>
      <c r="H52" s="38">
        <f>IFERROR(RadSpec!$I$17*H17,".")*$B$52</f>
        <v>1.818926142E-11</v>
      </c>
      <c r="I52" s="38">
        <f>IFERROR(RadSpec!$G$17*I17,".")*$B$52</f>
        <v>5.0046074287951759E-10</v>
      </c>
      <c r="J52" s="38">
        <f>IFERROR(RadSpec!$F$17*J17,".")*$B$52</f>
        <v>1.843120738838798E-8</v>
      </c>
      <c r="K52" s="47">
        <f t="shared" si="94"/>
        <v>1.818926142E-11</v>
      </c>
      <c r="L52" s="47">
        <f t="shared" si="94"/>
        <v>5.0046074287951759E-10</v>
      </c>
      <c r="M52" s="47">
        <f t="shared" si="94"/>
        <v>1.843120738838798E-8</v>
      </c>
      <c r="N52" s="47">
        <f t="shared" si="95"/>
        <v>1.8949857392687497E-8</v>
      </c>
      <c r="O52" s="30">
        <f>IFERROR(O17/$B52,0)</f>
        <v>54977.493418201688</v>
      </c>
      <c r="P52" s="30">
        <f>IFERROR(P17/$B52,0)</f>
        <v>305559.36847379373</v>
      </c>
      <c r="Q52" s="30">
        <f>IFERROR(Q17/$B52,0)</f>
        <v>54.255805326677596</v>
      </c>
      <c r="R52" s="30">
        <f t="shared" si="96"/>
        <v>54.192701434038419</v>
      </c>
      <c r="S52" s="38">
        <f>IFERROR(RadSpec!$I$17*S17,".")*$B$52</f>
        <v>1.818926142E-11</v>
      </c>
      <c r="T52" s="38">
        <f>IFERROR(RadSpec!$G$17*T17,".")*$B$52</f>
        <v>3.2726864340464973E-12</v>
      </c>
      <c r="U52" s="38">
        <f>IFERROR(RadSpec!$F$17*U17,".")*$B$52</f>
        <v>1.843120738838798E-8</v>
      </c>
      <c r="V52" s="47">
        <f t="shared" si="97"/>
        <v>1.818926142E-11</v>
      </c>
      <c r="W52" s="47">
        <f t="shared" si="98"/>
        <v>3.2726864340464973E-12</v>
      </c>
      <c r="X52" s="47">
        <f t="shared" si="99"/>
        <v>1.843120738838798E-8</v>
      </c>
      <c r="Y52" s="47">
        <f t="shared" si="100"/>
        <v>1.8452669336242027E-8</v>
      </c>
      <c r="Z52" s="30">
        <f t="shared" ref="Z52:AP52" si="108">IFERROR(Z17/$B52,0)</f>
        <v>54.255805326677596</v>
      </c>
      <c r="AA52" s="30">
        <f t="shared" si="108"/>
        <v>382.26267619099622</v>
      </c>
      <c r="AB52" s="30">
        <f t="shared" si="108"/>
        <v>95.770647683319865</v>
      </c>
      <c r="AC52" s="30">
        <f t="shared" si="108"/>
        <v>56.023996643168807</v>
      </c>
      <c r="AD52" s="30">
        <f t="shared" si="108"/>
        <v>478.98185531237988</v>
      </c>
      <c r="AE52" s="38">
        <f>IFERROR(RadSpec!$F$17*AE17,".")*$B$52</f>
        <v>1.843120738838798E-8</v>
      </c>
      <c r="AF52" s="38">
        <f>IFERROR(RadSpec!$M$17*AF17,".")*$B$52</f>
        <v>2.6160021950465116E-9</v>
      </c>
      <c r="AG52" s="38">
        <f>IFERROR(RadSpec!$N$17*AG17,".")*$B$52</f>
        <v>1.044161258370781E-8</v>
      </c>
      <c r="AH52" s="38">
        <f>IFERROR(RadSpec!$O$17*AH17,".")*$B$52</f>
        <v>1.7849494143897949E-8</v>
      </c>
      <c r="AI52" s="38">
        <f>IFERROR(RadSpec!$K$17*AI17,".")*$B$52</f>
        <v>2.0877617573797762E-9</v>
      </c>
      <c r="AJ52" s="47">
        <f t="shared" si="102"/>
        <v>1.843120738838798E-8</v>
      </c>
      <c r="AK52" s="47">
        <f t="shared" si="102"/>
        <v>2.6160021950465116E-9</v>
      </c>
      <c r="AL52" s="47">
        <f t="shared" si="102"/>
        <v>1.044161258370781E-8</v>
      </c>
      <c r="AM52" s="47">
        <f t="shared" si="102"/>
        <v>1.7849494143897949E-8</v>
      </c>
      <c r="AN52" s="47">
        <f t="shared" si="102"/>
        <v>2.0877617573797762E-9</v>
      </c>
      <c r="AO52" s="30">
        <f t="shared" si="108"/>
        <v>2.5745174774980732</v>
      </c>
      <c r="AP52" s="30">
        <f t="shared" si="108"/>
        <v>4297.748953383345</v>
      </c>
      <c r="AQ52" s="30">
        <f t="shared" si="103"/>
        <v>2.572976165481232</v>
      </c>
      <c r="AR52" s="38">
        <f>IFERROR(RadSpec!$G$17*AR17,".")*$B$52</f>
        <v>3.8842230000000001E-7</v>
      </c>
      <c r="AS52" s="38">
        <f>IFERROR(RadSpec!$J$17*AS17,".")*$B$52</f>
        <v>2.3267994730421919E-10</v>
      </c>
      <c r="AT52" s="47">
        <f t="shared" si="104"/>
        <v>3.8842230000000001E-7</v>
      </c>
      <c r="AU52" s="47">
        <f t="shared" si="104"/>
        <v>2.3267994730421919E-10</v>
      </c>
      <c r="AV52" s="47">
        <f t="shared" si="105"/>
        <v>3.8865497994730422E-7</v>
      </c>
    </row>
    <row r="53" spans="1:48" x14ac:dyDescent="0.25">
      <c r="A53" s="29" t="s">
        <v>309</v>
      </c>
      <c r="B53" s="24">
        <v>2.0000000000000001E-4</v>
      </c>
      <c r="C53" s="109"/>
      <c r="D53" s="30">
        <f>IFERROR(D5/$B53,0)</f>
        <v>0</v>
      </c>
      <c r="E53" s="30">
        <f>IFERROR(E5/$B53,0)</f>
        <v>0</v>
      </c>
      <c r="F53" s="30">
        <f>IFERROR(F5/$B53,0)</f>
        <v>886804834.35848677</v>
      </c>
      <c r="G53" s="30">
        <f t="shared" si="63"/>
        <v>886804834.35848677</v>
      </c>
      <c r="H53" s="38">
        <f>IFERROR(RadSpec!$I$5*H5,".")*$B$53</f>
        <v>0</v>
      </c>
      <c r="I53" s="38">
        <f>IFERROR(RadSpec!$G$5*I5,".")*$B$53</f>
        <v>0</v>
      </c>
      <c r="J53" s="38">
        <f>IFERROR(RadSpec!$F$5*J5,".")*$B$53</f>
        <v>1.1276438301369863E-15</v>
      </c>
      <c r="K53" s="47">
        <f t="shared" si="94"/>
        <v>0</v>
      </c>
      <c r="L53" s="47">
        <f t="shared" si="94"/>
        <v>0</v>
      </c>
      <c r="M53" s="47">
        <f t="shared" si="94"/>
        <v>1.1276438301369863E-15</v>
      </c>
      <c r="N53" s="47">
        <f t="shared" si="95"/>
        <v>1.1276438301369863E-15</v>
      </c>
      <c r="O53" s="30">
        <f>IFERROR(O5/$B53,0)</f>
        <v>0</v>
      </c>
      <c r="P53" s="30">
        <f>IFERROR(P5/$B53,0)</f>
        <v>0</v>
      </c>
      <c r="Q53" s="30">
        <f>IFERROR(Q5/$B53,0)</f>
        <v>886804834.35848677</v>
      </c>
      <c r="R53" s="30">
        <f t="shared" si="96"/>
        <v>886804834.35848677</v>
      </c>
      <c r="S53" s="38">
        <f>IFERROR(RadSpec!$I$5*S5,".")*$B$53</f>
        <v>0</v>
      </c>
      <c r="T53" s="38">
        <f>IFERROR(RadSpec!$G$5*T5,".")*$B$53</f>
        <v>0</v>
      </c>
      <c r="U53" s="38">
        <f>IFERROR(RadSpec!$F$5*U5,".")*$B$53</f>
        <v>1.1276438301369863E-15</v>
      </c>
      <c r="V53" s="47">
        <f t="shared" si="97"/>
        <v>0</v>
      </c>
      <c r="W53" s="47">
        <f t="shared" si="98"/>
        <v>0</v>
      </c>
      <c r="X53" s="47">
        <f t="shared" si="99"/>
        <v>1.1276438301369863E-15</v>
      </c>
      <c r="Y53" s="47">
        <f t="shared" si="100"/>
        <v>1.1276438301369863E-15</v>
      </c>
      <c r="Z53" s="30">
        <f t="shared" ref="Z53:AP53" si="109">IFERROR(Z5/$B53,0)</f>
        <v>886804834.35848677</v>
      </c>
      <c r="AA53" s="30">
        <f t="shared" si="109"/>
        <v>3223198714.3381038</v>
      </c>
      <c r="AB53" s="30">
        <f t="shared" si="109"/>
        <v>1319817201.2301738</v>
      </c>
      <c r="AC53" s="30">
        <f t="shared" si="109"/>
        <v>951594228.64951766</v>
      </c>
      <c r="AD53" s="30">
        <f t="shared" si="109"/>
        <v>1218708398.0949967</v>
      </c>
      <c r="AE53" s="38">
        <f>IFERROR(RadSpec!$F$5*AE5,".")*$B$53</f>
        <v>1.1276438301369863E-15</v>
      </c>
      <c r="AF53" s="38">
        <f>IFERROR(RadSpec!$M$5*AF5,".")*$B$53</f>
        <v>3.4472311811506848E-16</v>
      </c>
      <c r="AG53" s="38">
        <f>IFERROR(RadSpec!$N$5*AG5,".")*$B$53</f>
        <v>7.576806841643836E-16</v>
      </c>
      <c r="AH53" s="38">
        <f>IFERROR(RadSpec!$O$5*AH5,".")*$B$53</f>
        <v>1.05086808E-15</v>
      </c>
      <c r="AI53" s="38">
        <f>IFERROR(RadSpec!$K$5*AI5,".")*$B$53</f>
        <v>7.3848674663013697E-16</v>
      </c>
      <c r="AJ53" s="47">
        <f t="shared" si="102"/>
        <v>1.1276438301369863E-15</v>
      </c>
      <c r="AK53" s="47">
        <f t="shared" si="102"/>
        <v>3.4472311811506848E-16</v>
      </c>
      <c r="AL53" s="47">
        <f t="shared" si="102"/>
        <v>7.576806841643836E-16</v>
      </c>
      <c r="AM53" s="47">
        <f t="shared" si="102"/>
        <v>1.05086808E-15</v>
      </c>
      <c r="AN53" s="47">
        <f t="shared" si="102"/>
        <v>7.3848674663013697E-16</v>
      </c>
      <c r="AO53" s="30">
        <f t="shared" si="109"/>
        <v>0</v>
      </c>
      <c r="AP53" s="30">
        <f t="shared" si="109"/>
        <v>710451600253.10608</v>
      </c>
      <c r="AQ53" s="30">
        <f t="shared" si="103"/>
        <v>710451600253.10608</v>
      </c>
      <c r="AR53" s="38">
        <f>IFERROR(RadSpec!$G$5*AR5,".")*$B$53</f>
        <v>0</v>
      </c>
      <c r="AS53" s="38">
        <f>IFERROR(RadSpec!$J$5*AS5,".")*$B$53</f>
        <v>1.4075554191780823E-18</v>
      </c>
      <c r="AT53" s="47">
        <f t="shared" si="104"/>
        <v>0</v>
      </c>
      <c r="AU53" s="47">
        <f t="shared" si="104"/>
        <v>1.4075554191780823E-18</v>
      </c>
      <c r="AV53" s="47">
        <f t="shared" si="105"/>
        <v>1.4075554191780823E-18</v>
      </c>
    </row>
    <row r="54" spans="1:48" x14ac:dyDescent="0.25">
      <c r="A54" s="29" t="s">
        <v>310</v>
      </c>
      <c r="B54" s="24">
        <v>0.99999979999999999</v>
      </c>
      <c r="C54" s="109"/>
      <c r="D54" s="30">
        <f>IFERROR(D9/$B54,0)</f>
        <v>82311.656562916149</v>
      </c>
      <c r="E54" s="30">
        <f>IFERROR(E9/$B54,0)</f>
        <v>2511.7461586713703</v>
      </c>
      <c r="F54" s="30">
        <f>IFERROR(F9/$B54,0)</f>
        <v>6.3674269989090542</v>
      </c>
      <c r="G54" s="30">
        <f t="shared" si="63"/>
        <v>6.3508359642144478</v>
      </c>
      <c r="H54" s="38">
        <f>IFERROR(RadSpec!$I$9*H9,".")*$B$54</f>
        <v>1.2148947570209999E-11</v>
      </c>
      <c r="I54" s="38">
        <f>IFERROR(RadSpec!$G$9*I9,".")*$B$54</f>
        <v>3.9812940354170445E-10</v>
      </c>
      <c r="J54" s="38">
        <f>IFERROR(RadSpec!$F$9*J9,".")*$B$54</f>
        <v>1.5704930738449488E-7</v>
      </c>
      <c r="K54" s="47">
        <f t="shared" si="94"/>
        <v>1.2148947570209999E-11</v>
      </c>
      <c r="L54" s="47">
        <f t="shared" si="94"/>
        <v>3.9812940354170445E-10</v>
      </c>
      <c r="M54" s="47">
        <f t="shared" si="94"/>
        <v>1.5704930738449488E-7</v>
      </c>
      <c r="N54" s="47">
        <f t="shared" si="95"/>
        <v>1.5745958573560678E-7</v>
      </c>
      <c r="O54" s="30">
        <f>IFERROR(O9/$B54,0)</f>
        <v>82311.656562916149</v>
      </c>
      <c r="P54" s="30">
        <f>IFERROR(P9/$B54,0)</f>
        <v>384097.39943805104</v>
      </c>
      <c r="Q54" s="30">
        <f>IFERROR(Q9/$B54,0)</f>
        <v>6.3674269989090542</v>
      </c>
      <c r="R54" s="30">
        <f t="shared" si="96"/>
        <v>6.3668289297315326</v>
      </c>
      <c r="S54" s="38">
        <f>IFERROR(RadSpec!$I$9*S9,".")*$B$54</f>
        <v>1.2148947570209999E-11</v>
      </c>
      <c r="T54" s="38">
        <f>IFERROR(RadSpec!$G$9*T9,".")*$B$54</f>
        <v>2.6035063019511139E-12</v>
      </c>
      <c r="U54" s="38">
        <f>IFERROR(RadSpec!$F$9*U9,".")*$B$54</f>
        <v>1.5704930738449488E-7</v>
      </c>
      <c r="V54" s="47">
        <f t="shared" si="97"/>
        <v>1.2148947570209999E-11</v>
      </c>
      <c r="W54" s="47">
        <f t="shared" si="98"/>
        <v>2.6035063019511139E-12</v>
      </c>
      <c r="X54" s="47">
        <f t="shared" si="99"/>
        <v>1.5704930738449488E-7</v>
      </c>
      <c r="Y54" s="47">
        <f t="shared" si="100"/>
        <v>1.5706405983836704E-7</v>
      </c>
      <c r="Z54" s="30">
        <f t="shared" ref="Z54:AP54" si="110">IFERROR(Z9/$B54,0)</f>
        <v>6.3674269989090542</v>
      </c>
      <c r="AA54" s="30">
        <f t="shared" si="110"/>
        <v>76.80970919212298</v>
      </c>
      <c r="AB54" s="30">
        <f t="shared" si="110"/>
        <v>17.716623545444758</v>
      </c>
      <c r="AC54" s="30">
        <f t="shared" si="110"/>
        <v>8.4658172049737903</v>
      </c>
      <c r="AD54" s="30">
        <f t="shared" si="110"/>
        <v>117.7405498047933</v>
      </c>
      <c r="AE54" s="38">
        <f>IFERROR(RadSpec!$F$9*AE9,".")*$B$54</f>
        <v>1.5704930738449488E-7</v>
      </c>
      <c r="AF54" s="38">
        <f>IFERROR(RadSpec!$M$9*AF9,".")*$B$54</f>
        <v>1.3019187424583458E-8</v>
      </c>
      <c r="AG54" s="38">
        <f>IFERROR(RadSpec!$N$9*AG9,".")*$B$54</f>
        <v>5.6444163721992999E-8</v>
      </c>
      <c r="AH54" s="38">
        <f>IFERROR(RadSpec!$O$9*AH9,".")*$B$54</f>
        <v>1.1812208742382077E-7</v>
      </c>
      <c r="AI54" s="38">
        <f>IFERROR(RadSpec!$K$9*AI9,".")*$B$54</f>
        <v>8.4932506401400319E-9</v>
      </c>
      <c r="AJ54" s="47">
        <f t="shared" si="102"/>
        <v>1.5704930738449488E-7</v>
      </c>
      <c r="AK54" s="47">
        <f t="shared" si="102"/>
        <v>1.3019187424583458E-8</v>
      </c>
      <c r="AL54" s="47">
        <f t="shared" si="102"/>
        <v>5.6444163721992999E-8</v>
      </c>
      <c r="AM54" s="47">
        <f t="shared" si="102"/>
        <v>1.1812208742382077E-7</v>
      </c>
      <c r="AN54" s="47">
        <f t="shared" si="102"/>
        <v>8.4932506401400319E-9</v>
      </c>
      <c r="AO54" s="30">
        <f t="shared" si="110"/>
        <v>3.2362466019418772</v>
      </c>
      <c r="AP54" s="30">
        <f t="shared" si="110"/>
        <v>654.65710289239792</v>
      </c>
      <c r="AQ54" s="30">
        <f t="shared" si="103"/>
        <v>3.2203271644272249</v>
      </c>
      <c r="AR54" s="38">
        <f>IFERROR(RadSpec!$G$9*AR9,".")*$B$54</f>
        <v>3.0899993819999995E-7</v>
      </c>
      <c r="AS54" s="38">
        <f>IFERROR(RadSpec!$J$9*AS9,".")*$B$54</f>
        <v>1.5275172232636175E-9</v>
      </c>
      <c r="AT54" s="47">
        <f t="shared" si="104"/>
        <v>3.0899993819999995E-7</v>
      </c>
      <c r="AU54" s="47">
        <f t="shared" si="104"/>
        <v>1.5275172232636175E-9</v>
      </c>
      <c r="AV54" s="47">
        <f t="shared" si="105"/>
        <v>3.1052745542326358E-7</v>
      </c>
    </row>
    <row r="55" spans="1:48" x14ac:dyDescent="0.25">
      <c r="A55" s="29" t="s">
        <v>311</v>
      </c>
      <c r="B55" s="24">
        <v>1.9999999999999999E-7</v>
      </c>
      <c r="C55" s="109"/>
      <c r="D55" s="30">
        <f>IFERROR(D24/$B55,0)</f>
        <v>0</v>
      </c>
      <c r="E55" s="30">
        <f>IFERROR(E24/$B55,0)</f>
        <v>0</v>
      </c>
      <c r="F55" s="30">
        <f>IFERROR(F24/$B55,0)</f>
        <v>75174878686.880417</v>
      </c>
      <c r="G55" s="30">
        <f t="shared" si="63"/>
        <v>75174878686.880417</v>
      </c>
      <c r="H55" s="38">
        <f>IFERROR(RadSpec!$I$24*H24,".")*$B$55</f>
        <v>0</v>
      </c>
      <c r="I55" s="38">
        <f>IFERROR(RadSpec!$G$24*I24,".")*$B$55</f>
        <v>0</v>
      </c>
      <c r="J55" s="38">
        <f>IFERROR(RadSpec!$F$24*J24,".")*$B$55</f>
        <v>1.3302316112344068E-17</v>
      </c>
      <c r="K55" s="47">
        <f t="shared" si="94"/>
        <v>0</v>
      </c>
      <c r="L55" s="47">
        <f t="shared" si="94"/>
        <v>0</v>
      </c>
      <c r="M55" s="47">
        <f t="shared" si="94"/>
        <v>1.3302316112344068E-17</v>
      </c>
      <c r="N55" s="47">
        <f t="shared" si="95"/>
        <v>1.3302316112344068E-17</v>
      </c>
      <c r="O55" s="30">
        <f>IFERROR(O24/$B55,0)</f>
        <v>0</v>
      </c>
      <c r="P55" s="30">
        <f>IFERROR(P24/$B55,0)</f>
        <v>0</v>
      </c>
      <c r="Q55" s="30">
        <f>IFERROR(Q24/$B55,0)</f>
        <v>75174878686.880417</v>
      </c>
      <c r="R55" s="30">
        <f t="shared" si="96"/>
        <v>75174878686.880417</v>
      </c>
      <c r="S55" s="38">
        <f>IFERROR(RadSpec!$I$24*S24,".")*$B$55</f>
        <v>0</v>
      </c>
      <c r="T55" s="38">
        <f>IFERROR(RadSpec!$G$24*T24,".")*$B$55</f>
        <v>0</v>
      </c>
      <c r="U55" s="38">
        <f>IFERROR(RadSpec!$F$24*U24,".")*$B$55</f>
        <v>1.3302316112344068E-17</v>
      </c>
      <c r="V55" s="47">
        <f t="shared" si="97"/>
        <v>0</v>
      </c>
      <c r="W55" s="47">
        <f t="shared" si="98"/>
        <v>0</v>
      </c>
      <c r="X55" s="47">
        <f t="shared" si="99"/>
        <v>1.3302316112344068E-17</v>
      </c>
      <c r="Y55" s="47">
        <f t="shared" si="100"/>
        <v>1.3302316112344068E-17</v>
      </c>
      <c r="Z55" s="30">
        <f t="shared" ref="Z55:AP55" si="111">IFERROR(Z24/$B55,0)</f>
        <v>75174878686.880417</v>
      </c>
      <c r="AA55" s="30">
        <f t="shared" si="111"/>
        <v>674242113924.53638</v>
      </c>
      <c r="AB55" s="30">
        <f t="shared" si="111"/>
        <v>164362413868.07968</v>
      </c>
      <c r="AC55" s="30">
        <f t="shared" si="111"/>
        <v>82443614271.129669</v>
      </c>
      <c r="AD55" s="30">
        <f t="shared" si="111"/>
        <v>1023438952067.791</v>
      </c>
      <c r="AE55" s="38">
        <f>IFERROR(RadSpec!$F$24*AE24,".")*$B$55</f>
        <v>1.3302316112344068E-17</v>
      </c>
      <c r="AF55" s="38">
        <f>IFERROR(RadSpec!$M$24*AF24,".")*$B$55</f>
        <v>1.483146750029209E-18</v>
      </c>
      <c r="AG55" s="38">
        <f>IFERROR(RadSpec!$N$24*AG24,".")*$B$55</f>
        <v>6.0841160485913679E-18</v>
      </c>
      <c r="AH55" s="38">
        <f>IFERROR(RadSpec!$O$24*AH24,".")*$B$55</f>
        <v>1.2129502191780823E-17</v>
      </c>
      <c r="AI55" s="38">
        <f>IFERROR(RadSpec!$K$24*AI24,".")*$B$55</f>
        <v>9.770978503207892E-19</v>
      </c>
      <c r="AJ55" s="47">
        <f t="shared" si="102"/>
        <v>1.3302316112344068E-17</v>
      </c>
      <c r="AK55" s="47">
        <f t="shared" si="102"/>
        <v>1.483146750029209E-18</v>
      </c>
      <c r="AL55" s="47">
        <f t="shared" si="102"/>
        <v>6.0841160485913679E-18</v>
      </c>
      <c r="AM55" s="47">
        <f t="shared" si="102"/>
        <v>1.2129502191780823E-17</v>
      </c>
      <c r="AN55" s="47">
        <f t="shared" si="102"/>
        <v>9.770978503207892E-19</v>
      </c>
      <c r="AO55" s="30">
        <f t="shared" si="111"/>
        <v>0</v>
      </c>
      <c r="AP55" s="30">
        <f t="shared" si="111"/>
        <v>6870301189260.8057</v>
      </c>
      <c r="AQ55" s="30">
        <f t="shared" si="103"/>
        <v>6870301189260.8057</v>
      </c>
      <c r="AR55" s="38">
        <f>IFERROR(RadSpec!$G$24*AR24,".")*$B$55</f>
        <v>0</v>
      </c>
      <c r="AS55" s="38">
        <f>IFERROR(RadSpec!$J$24*AS24,".")*$B$55</f>
        <v>1.4555402630136986E-19</v>
      </c>
      <c r="AT55" s="47">
        <f t="shared" si="104"/>
        <v>0</v>
      </c>
      <c r="AU55" s="47">
        <f t="shared" si="104"/>
        <v>1.4555402630136986E-19</v>
      </c>
      <c r="AV55" s="47">
        <f t="shared" si="105"/>
        <v>1.4555402630136986E-19</v>
      </c>
    </row>
    <row r="56" spans="1:48" x14ac:dyDescent="0.25">
      <c r="A56" s="29" t="s">
        <v>312</v>
      </c>
      <c r="B56" s="24">
        <v>0.99979000004200003</v>
      </c>
      <c r="C56" s="109"/>
      <c r="D56" s="30">
        <f>IFERROR(D20/$B56,0)</f>
        <v>0</v>
      </c>
      <c r="E56" s="30">
        <f>IFERROR(E20/$B56,0)</f>
        <v>0</v>
      </c>
      <c r="F56" s="30">
        <f>IFERROR(F20/$B56,0)</f>
        <v>121192.58050196047</v>
      </c>
      <c r="G56" s="30">
        <f t="shared" si="63"/>
        <v>121192.58050196049</v>
      </c>
      <c r="H56" s="38">
        <f>IFERROR(RadSpec!$I$20*H20,".")*$B$56</f>
        <v>0</v>
      </c>
      <c r="I56" s="38">
        <f>IFERROR(RadSpec!$G$20*I20,".")*$B$56</f>
        <v>0</v>
      </c>
      <c r="J56" s="38">
        <f>IFERROR(RadSpec!$F$20*J20,".")*$B$56</f>
        <v>8.2513302040286485E-12</v>
      </c>
      <c r="K56" s="47">
        <f t="shared" si="94"/>
        <v>0</v>
      </c>
      <c r="L56" s="47">
        <f t="shared" si="94"/>
        <v>0</v>
      </c>
      <c r="M56" s="47">
        <f t="shared" si="94"/>
        <v>8.2513302040286485E-12</v>
      </c>
      <c r="N56" s="47">
        <f t="shared" si="95"/>
        <v>8.2513302040286485E-12</v>
      </c>
      <c r="O56" s="30">
        <f>IFERROR(O20/$B56,0)</f>
        <v>0</v>
      </c>
      <c r="P56" s="30">
        <f>IFERROR(P20/$B56,0)</f>
        <v>0</v>
      </c>
      <c r="Q56" s="30">
        <f>IFERROR(Q20/$B56,0)</f>
        <v>121192.58050196047</v>
      </c>
      <c r="R56" s="30">
        <f t="shared" si="96"/>
        <v>121192.58050196049</v>
      </c>
      <c r="S56" s="38">
        <f>IFERROR(RadSpec!$I$20*S20,".")*$B$56</f>
        <v>0</v>
      </c>
      <c r="T56" s="38">
        <f>IFERROR(RadSpec!$G$20*T20,".")*$B$56</f>
        <v>0</v>
      </c>
      <c r="U56" s="38">
        <f>IFERROR(RadSpec!$F$20*U20,".")*$B$56</f>
        <v>8.2513302040286485E-12</v>
      </c>
      <c r="V56" s="47">
        <f t="shared" si="97"/>
        <v>0</v>
      </c>
      <c r="W56" s="47">
        <f t="shared" si="98"/>
        <v>0</v>
      </c>
      <c r="X56" s="47">
        <f t="shared" si="99"/>
        <v>8.2513302040286485E-12</v>
      </c>
      <c r="Y56" s="47">
        <f t="shared" si="100"/>
        <v>8.2513302040286485E-12</v>
      </c>
      <c r="Z56" s="30">
        <f t="shared" ref="Z56:AP56" si="112">IFERROR(Z20/$B56,0)</f>
        <v>121192.58050196047</v>
      </c>
      <c r="AA56" s="30">
        <f t="shared" si="112"/>
        <v>1271956.8056890443</v>
      </c>
      <c r="AB56" s="30">
        <f t="shared" si="112"/>
        <v>300865.70838385436</v>
      </c>
      <c r="AC56" s="30">
        <f t="shared" si="112"/>
        <v>148372.60952546223</v>
      </c>
      <c r="AD56" s="30">
        <f t="shared" si="112"/>
        <v>1972953.9375905271</v>
      </c>
      <c r="AE56" s="38">
        <f>IFERROR(RadSpec!$F$20*AE20,".")*$B$56</f>
        <v>8.2513302040286485E-12</v>
      </c>
      <c r="AF56" s="38">
        <f>IFERROR(RadSpec!$M$20*AF20,".")*$B$56</f>
        <v>7.8619021929622843E-13</v>
      </c>
      <c r="AG56" s="38">
        <f>IFERROR(RadSpec!$N$20*AG20,".")*$B$56</f>
        <v>3.3237420288661389E-12</v>
      </c>
      <c r="AH56" s="38">
        <f>IFERROR(RadSpec!$O$20*AH20,".")*$B$56</f>
        <v>6.7397884501612815E-12</v>
      </c>
      <c r="AI56" s="38">
        <f>IFERROR(RadSpec!$K$20*AI20,".")*$B$56</f>
        <v>5.0685420523362617E-13</v>
      </c>
      <c r="AJ56" s="47">
        <f t="shared" si="102"/>
        <v>8.2513302040286485E-12</v>
      </c>
      <c r="AK56" s="47">
        <f t="shared" si="102"/>
        <v>7.8619021929622843E-13</v>
      </c>
      <c r="AL56" s="47">
        <f t="shared" si="102"/>
        <v>3.3237420288661389E-12</v>
      </c>
      <c r="AM56" s="47">
        <f t="shared" si="102"/>
        <v>6.7397884501612815E-12</v>
      </c>
      <c r="AN56" s="47">
        <f t="shared" si="102"/>
        <v>5.0685420523362617E-13</v>
      </c>
      <c r="AO56" s="30">
        <f t="shared" si="112"/>
        <v>0</v>
      </c>
      <c r="AP56" s="30">
        <f t="shared" si="112"/>
        <v>12261347.592729168</v>
      </c>
      <c r="AQ56" s="30">
        <f t="shared" si="103"/>
        <v>12261347.592729168</v>
      </c>
      <c r="AR56" s="38">
        <f>IFERROR(RadSpec!$G$20*AR20,".")*$B$56</f>
        <v>0</v>
      </c>
      <c r="AS56" s="38">
        <f>IFERROR(RadSpec!$J$20*AS20,".")*$B$56</f>
        <v>8.1557103934724751E-14</v>
      </c>
      <c r="AT56" s="47">
        <f t="shared" si="104"/>
        <v>0</v>
      </c>
      <c r="AU56" s="47">
        <f t="shared" si="104"/>
        <v>8.1557103934724751E-14</v>
      </c>
      <c r="AV56" s="47">
        <f t="shared" si="105"/>
        <v>8.1557103934724751E-14</v>
      </c>
    </row>
    <row r="57" spans="1:48" x14ac:dyDescent="0.25">
      <c r="A57" s="29" t="s">
        <v>313</v>
      </c>
      <c r="B57" s="24">
        <v>2.0999995799999999E-4</v>
      </c>
      <c r="C57" s="109"/>
      <c r="D57" s="30">
        <f>IFERROR(D29/$B57,0)</f>
        <v>0</v>
      </c>
      <c r="E57" s="30">
        <f>IFERROR(E29/$B57,0)</f>
        <v>0</v>
      </c>
      <c r="F57" s="30">
        <f>IFERROR(F29/$B57,0)</f>
        <v>16827.262800018885</v>
      </c>
      <c r="G57" s="30">
        <f t="shared" si="63"/>
        <v>16827.262800018885</v>
      </c>
      <c r="H57" s="38">
        <f>IFERROR(RadSpec!$I$29*H29,".")*$B$57</f>
        <v>0</v>
      </c>
      <c r="I57" s="38">
        <f>IFERROR(RadSpec!$G$29*I29,".")*$B$57</f>
        <v>0</v>
      </c>
      <c r="J57" s="38">
        <f>IFERROR(RadSpec!$F$29*J29,".")*$B$57</f>
        <v>5.9427371634017483E-11</v>
      </c>
      <c r="K57" s="47">
        <f t="shared" si="94"/>
        <v>0</v>
      </c>
      <c r="L57" s="47">
        <f t="shared" si="94"/>
        <v>0</v>
      </c>
      <c r="M57" s="47">
        <f t="shared" si="94"/>
        <v>5.9427371634017483E-11</v>
      </c>
      <c r="N57" s="47">
        <f t="shared" si="95"/>
        <v>5.9427371634017483E-11</v>
      </c>
      <c r="O57" s="30">
        <f>IFERROR(O29/$B57,0)</f>
        <v>0</v>
      </c>
      <c r="P57" s="30">
        <f>IFERROR(P29/$B57,0)</f>
        <v>0</v>
      </c>
      <c r="Q57" s="30">
        <f>IFERROR(Q29/$B57,0)</f>
        <v>16827.262800018885</v>
      </c>
      <c r="R57" s="30">
        <f t="shared" si="96"/>
        <v>16827.262800018885</v>
      </c>
      <c r="S57" s="38">
        <f>IFERROR(RadSpec!$I$29*S29,".")*$B$57</f>
        <v>0</v>
      </c>
      <c r="T57" s="38">
        <f>IFERROR(RadSpec!$G$29*T29,".")*$B$57</f>
        <v>0</v>
      </c>
      <c r="U57" s="38">
        <f>IFERROR(RadSpec!$F$29*U29,".")*$B$57</f>
        <v>5.9427371634017483E-11</v>
      </c>
      <c r="V57" s="47">
        <f t="shared" si="97"/>
        <v>0</v>
      </c>
      <c r="W57" s="47">
        <f t="shared" si="98"/>
        <v>0</v>
      </c>
      <c r="X57" s="47">
        <f t="shared" si="99"/>
        <v>5.9427371634017483E-11</v>
      </c>
      <c r="Y57" s="47">
        <f t="shared" si="100"/>
        <v>5.9427371634017483E-11</v>
      </c>
      <c r="Z57" s="30">
        <f t="shared" ref="Z57:AP57" si="113">IFERROR(Z29/$B57,0)</f>
        <v>16827.262800018885</v>
      </c>
      <c r="AA57" s="30">
        <f t="shared" si="113"/>
        <v>190092.11507554376</v>
      </c>
      <c r="AB57" s="30">
        <f t="shared" si="113"/>
        <v>44661.759630914792</v>
      </c>
      <c r="AC57" s="30">
        <f t="shared" si="113"/>
        <v>21767.447695243925</v>
      </c>
      <c r="AD57" s="30">
        <f t="shared" si="113"/>
        <v>283051.3506393765</v>
      </c>
      <c r="AE57" s="38">
        <f>IFERROR(RadSpec!$F$29*AE29,".")*$B$57</f>
        <v>5.9427371634017483E-11</v>
      </c>
      <c r="AF57" s="38">
        <f>IFERROR(RadSpec!$M$29*AF29,".")*$B$57</f>
        <v>5.260607467082967E-12</v>
      </c>
      <c r="AG57" s="38">
        <f>IFERROR(RadSpec!$N$29*AG29,".")*$B$57</f>
        <v>2.2390519501784286E-11</v>
      </c>
      <c r="AH57" s="38">
        <f>IFERROR(RadSpec!$O$29*AH29,".")*$B$57</f>
        <v>4.5940158625877621E-11</v>
      </c>
      <c r="AI57" s="38">
        <f>IFERROR(RadSpec!$K$29*AI29,".")*$B$57</f>
        <v>3.532927851222503E-12</v>
      </c>
      <c r="AJ57" s="47">
        <f t="shared" si="102"/>
        <v>5.9427371634017483E-11</v>
      </c>
      <c r="AK57" s="47">
        <f t="shared" si="102"/>
        <v>5.260607467082967E-12</v>
      </c>
      <c r="AL57" s="47">
        <f t="shared" si="102"/>
        <v>2.2390519501784286E-11</v>
      </c>
      <c r="AM57" s="47">
        <f t="shared" si="102"/>
        <v>4.5940158625877621E-11</v>
      </c>
      <c r="AN57" s="47">
        <f t="shared" si="102"/>
        <v>3.532927851222503E-12</v>
      </c>
      <c r="AO57" s="30">
        <f t="shared" si="113"/>
        <v>0</v>
      </c>
      <c r="AP57" s="30">
        <f t="shared" si="113"/>
        <v>1685168.5532674931</v>
      </c>
      <c r="AQ57" s="30">
        <f t="shared" si="103"/>
        <v>1685168.5532674931</v>
      </c>
      <c r="AR57" s="38">
        <f>IFERROR(RadSpec!$G$29*AR29,".")*$B$57</f>
        <v>0</v>
      </c>
      <c r="AS57" s="38">
        <f>IFERROR(RadSpec!$J$29*AS29,".")*$B$57</f>
        <v>5.934124500846094E-13</v>
      </c>
      <c r="AT57" s="47">
        <f t="shared" si="104"/>
        <v>0</v>
      </c>
      <c r="AU57" s="47">
        <f t="shared" si="104"/>
        <v>5.934124500846094E-13</v>
      </c>
      <c r="AV57" s="47">
        <f t="shared" si="105"/>
        <v>5.934124500846094E-13</v>
      </c>
    </row>
    <row r="58" spans="1:48" x14ac:dyDescent="0.25">
      <c r="A58" s="29" t="s">
        <v>314</v>
      </c>
      <c r="B58" s="24">
        <v>1</v>
      </c>
      <c r="C58" s="109"/>
      <c r="D58" s="30">
        <f>IFERROR(D16/$B58,0)</f>
        <v>20.222242444464666</v>
      </c>
      <c r="E58" s="30">
        <f>IFERROR(E16/$B58,0)</f>
        <v>9.7792403175649323</v>
      </c>
      <c r="F58" s="30">
        <f>IFERROR(F16/$B58,0)</f>
        <v>22453.378967774097</v>
      </c>
      <c r="G58" s="30">
        <f t="shared" si="63"/>
        <v>6.5896786364943001</v>
      </c>
      <c r="H58" s="38">
        <f>IFERROR(RadSpec!$I$16*H16,".")*$B$58</f>
        <v>4.9450500000000003E-8</v>
      </c>
      <c r="I58" s="38">
        <f>IFERROR(RadSpec!$G$16*I16,".")*$B$58</f>
        <v>1.0225743181746492E-7</v>
      </c>
      <c r="J58" s="38">
        <f>IFERROR(RadSpec!$F$16*J16,".")*$B$58</f>
        <v>4.4536726585127182E-11</v>
      </c>
      <c r="K58" s="47">
        <f t="shared" si="94"/>
        <v>4.9450500000000003E-8</v>
      </c>
      <c r="L58" s="47">
        <f t="shared" si="94"/>
        <v>1.0225743181746492E-7</v>
      </c>
      <c r="M58" s="47">
        <f t="shared" si="94"/>
        <v>4.4536726585127182E-11</v>
      </c>
      <c r="N58" s="47">
        <f t="shared" si="95"/>
        <v>1.5175246854405005E-7</v>
      </c>
      <c r="O58" s="30">
        <f>IFERROR(O16/$B58,0)</f>
        <v>20.222242444464666</v>
      </c>
      <c r="P58" s="30">
        <f>IFERROR(P16/$B58,0)</f>
        <v>1495.4460113291564</v>
      </c>
      <c r="Q58" s="30">
        <f>IFERROR(Q16/$B58,0)</f>
        <v>22453.378967774097</v>
      </c>
      <c r="R58" s="30">
        <f t="shared" si="96"/>
        <v>19.934720348678365</v>
      </c>
      <c r="S58" s="38">
        <f>IFERROR(RadSpec!$I$16*S16,".")*$B$58</f>
        <v>4.9450500000000003E-8</v>
      </c>
      <c r="T58" s="38">
        <f>IFERROR(RadSpec!$G$16*T16,".")*$B$58</f>
        <v>6.6869682517739136E-10</v>
      </c>
      <c r="U58" s="38">
        <f>IFERROR(RadSpec!$F$16*U16,".")*$B$58</f>
        <v>4.4536726585127182E-11</v>
      </c>
      <c r="V58" s="47">
        <f t="shared" si="97"/>
        <v>4.9450500000000003E-8</v>
      </c>
      <c r="W58" s="47">
        <f t="shared" si="98"/>
        <v>6.6869682517739136E-10</v>
      </c>
      <c r="X58" s="47">
        <f t="shared" si="99"/>
        <v>4.4536726585127182E-11</v>
      </c>
      <c r="Y58" s="47">
        <f t="shared" si="100"/>
        <v>5.0163733551762525E-8</v>
      </c>
      <c r="Z58" s="30">
        <f t="shared" ref="Z58:AP58" si="114">IFERROR(Z16/$B58,0)</f>
        <v>22453.378967774097</v>
      </c>
      <c r="AA58" s="30">
        <f t="shared" si="114"/>
        <v>30546.11950004657</v>
      </c>
      <c r="AB58" s="30">
        <f t="shared" si="114"/>
        <v>21667.575968753372</v>
      </c>
      <c r="AC58" s="30">
        <f t="shared" si="114"/>
        <v>20318.367045906627</v>
      </c>
      <c r="AD58" s="30">
        <f t="shared" si="114"/>
        <v>20175.686643105069</v>
      </c>
      <c r="AE58" s="38">
        <f>IFERROR(RadSpec!$F$16*AE16,".")*$B$58</f>
        <v>4.4536726585127182E-11</v>
      </c>
      <c r="AF58" s="38">
        <f>IFERROR(RadSpec!$M$16*AF16,".")*$B$58</f>
        <v>3.2737382566662033E-11</v>
      </c>
      <c r="AG58" s="38">
        <f>IFERROR(RadSpec!$N$16*AG16,".")*$B$58</f>
        <v>4.6151909260274028E-11</v>
      </c>
      <c r="AH58" s="38">
        <f>IFERROR(RadSpec!$O$16*AH16,".")*$B$58</f>
        <v>4.9216553561643706E-11</v>
      </c>
      <c r="AI58" s="38">
        <f>IFERROR(RadSpec!$K$16*AI16,".")*$B$58</f>
        <v>4.9564608020007314E-11</v>
      </c>
      <c r="AJ58" s="47">
        <f t="shared" si="102"/>
        <v>4.4536726585127182E-11</v>
      </c>
      <c r="AK58" s="47">
        <f t="shared" si="102"/>
        <v>3.2737382566662033E-11</v>
      </c>
      <c r="AL58" s="47">
        <f t="shared" si="102"/>
        <v>4.6151909260274028E-11</v>
      </c>
      <c r="AM58" s="47">
        <f t="shared" si="102"/>
        <v>4.9216553561643706E-11</v>
      </c>
      <c r="AN58" s="47">
        <f t="shared" si="102"/>
        <v>4.9564608020007314E-11</v>
      </c>
      <c r="AO58" s="30">
        <f t="shared" si="114"/>
        <v>1.2600012600012603E-2</v>
      </c>
      <c r="AP58" s="30">
        <f t="shared" si="114"/>
        <v>1113111.11256273</v>
      </c>
      <c r="AQ58" s="30">
        <f t="shared" si="103"/>
        <v>1.2600012457385049E-2</v>
      </c>
      <c r="AR58" s="38">
        <f>IFERROR(RadSpec!$G$16*AR16,".")*$B$58</f>
        <v>7.9364999999999997E-5</v>
      </c>
      <c r="AS58" s="38">
        <f>IFERROR(RadSpec!$J$16*AS16,".")*$B$58</f>
        <v>8.9838290958904098E-13</v>
      </c>
      <c r="AT58" s="47">
        <f t="shared" si="104"/>
        <v>7.9364999999999997E-5</v>
      </c>
      <c r="AU58" s="47">
        <f t="shared" si="104"/>
        <v>8.9838290958904098E-13</v>
      </c>
      <c r="AV58" s="47">
        <f t="shared" si="105"/>
        <v>7.93650008983829E-5</v>
      </c>
    </row>
    <row r="59" spans="1:48" x14ac:dyDescent="0.25">
      <c r="A59" s="29" t="s">
        <v>315</v>
      </c>
      <c r="B59" s="24">
        <v>1</v>
      </c>
      <c r="C59" s="109"/>
      <c r="D59" s="30">
        <f>IFERROR(D7/$B59,0)</f>
        <v>3243.5676000032436</v>
      </c>
      <c r="E59" s="30">
        <f>IFERROR(E7/$B59,0)</f>
        <v>341.08082083214276</v>
      </c>
      <c r="F59" s="30">
        <f>IFERROR(F7/$B59,0)</f>
        <v>21193.132482126541</v>
      </c>
      <c r="G59" s="30">
        <f t="shared" si="63"/>
        <v>304.19694133378039</v>
      </c>
      <c r="H59" s="38">
        <f>IFERROR(RadSpec!$I$7*H7,".")*$B$59</f>
        <v>3.0830249999999998E-10</v>
      </c>
      <c r="I59" s="38">
        <f>IFERROR(RadSpec!$G$7*I7,".")*$B$59</f>
        <v>2.9318564367245187E-9</v>
      </c>
      <c r="J59" s="38">
        <f>IFERROR(RadSpec!$F$7*J7,".")*$B$59</f>
        <v>4.7185096438356185E-11</v>
      </c>
      <c r="K59" s="47">
        <f t="shared" si="94"/>
        <v>3.0830249999999998E-10</v>
      </c>
      <c r="L59" s="47">
        <f t="shared" si="94"/>
        <v>2.9318564367245187E-9</v>
      </c>
      <c r="M59" s="47">
        <f t="shared" si="94"/>
        <v>4.7185096438356185E-11</v>
      </c>
      <c r="N59" s="47">
        <f t="shared" si="95"/>
        <v>3.2873440331628747E-9</v>
      </c>
      <c r="O59" s="30">
        <f>IFERROR(O7/$B59,0)</f>
        <v>3243.5676000032436</v>
      </c>
      <c r="P59" s="30">
        <f>IFERROR(P7/$B59,0)</f>
        <v>52158.238931724234</v>
      </c>
      <c r="Q59" s="30">
        <f>IFERROR(Q7/$B59,0)</f>
        <v>21193.132482126541</v>
      </c>
      <c r="R59" s="30">
        <f t="shared" si="96"/>
        <v>2669.0864754514046</v>
      </c>
      <c r="S59" s="38">
        <f>IFERROR(RadSpec!$I$7*S7,".")*$B$59</f>
        <v>3.0830249999999998E-10</v>
      </c>
      <c r="T59" s="38">
        <f>IFERROR(RadSpec!$G$7*T7,".")*$B$59</f>
        <v>1.9172426456134998E-11</v>
      </c>
      <c r="U59" s="38">
        <f>IFERROR(RadSpec!$F$7*U7,".")*$B$59</f>
        <v>4.7185096438356185E-11</v>
      </c>
      <c r="V59" s="47">
        <f t="shared" si="97"/>
        <v>3.0830249999999998E-10</v>
      </c>
      <c r="W59" s="47">
        <f t="shared" si="98"/>
        <v>1.9172426456134998E-11</v>
      </c>
      <c r="X59" s="47">
        <f t="shared" si="99"/>
        <v>4.7185096438356185E-11</v>
      </c>
      <c r="Y59" s="47">
        <f t="shared" si="100"/>
        <v>3.7466002289449114E-10</v>
      </c>
      <c r="Z59" s="30">
        <f t="shared" ref="Z59:AP59" si="115">IFERROR(Z7/$B59,0)</f>
        <v>21193.132482126541</v>
      </c>
      <c r="AA59" s="30">
        <f t="shared" si="115"/>
        <v>91760.872048346384</v>
      </c>
      <c r="AB59" s="30">
        <f t="shared" si="115"/>
        <v>29612.628647717978</v>
      </c>
      <c r="AC59" s="30">
        <f t="shared" si="115"/>
        <v>19664.089806193639</v>
      </c>
      <c r="AD59" s="30">
        <f t="shared" si="115"/>
        <v>23777.190491776219</v>
      </c>
      <c r="AE59" s="38">
        <f>IFERROR(RadSpec!$F$7*AE7,".")*$B$59</f>
        <v>4.7185096438356185E-11</v>
      </c>
      <c r="AF59" s="38">
        <f>IFERROR(RadSpec!$M$7*AF7,".")*$B$59</f>
        <v>1.08978912E-11</v>
      </c>
      <c r="AG59" s="38">
        <f>IFERROR(RadSpec!$N$7*AG7,".")*$B$59</f>
        <v>3.3769376298752278E-11</v>
      </c>
      <c r="AH59" s="38">
        <f>IFERROR(RadSpec!$O$7*AH7,".")*$B$59</f>
        <v>5.0854120880033199E-11</v>
      </c>
      <c r="AI59" s="38">
        <f>IFERROR(RadSpec!$K$7*AI7,".")*$B$59</f>
        <v>4.2057113532646698E-11</v>
      </c>
      <c r="AJ59" s="47">
        <f t="shared" si="102"/>
        <v>4.7185096438356185E-11</v>
      </c>
      <c r="AK59" s="47">
        <f t="shared" si="102"/>
        <v>1.08978912E-11</v>
      </c>
      <c r="AL59" s="47">
        <f t="shared" si="102"/>
        <v>3.3769376298752278E-11</v>
      </c>
      <c r="AM59" s="47">
        <f t="shared" si="102"/>
        <v>5.0854120880033199E-11</v>
      </c>
      <c r="AN59" s="47">
        <f t="shared" si="102"/>
        <v>4.2057113532646698E-11</v>
      </c>
      <c r="AO59" s="30">
        <f t="shared" si="115"/>
        <v>0.43946385409800048</v>
      </c>
      <c r="AP59" s="30">
        <f t="shared" si="115"/>
        <v>828076.03738110373</v>
      </c>
      <c r="AQ59" s="30">
        <f t="shared" si="103"/>
        <v>0.43946362087258656</v>
      </c>
      <c r="AR59" s="38">
        <f>IFERROR(RadSpec!$G$7*AR7,".")*$B$59</f>
        <v>2.2755000000000001E-6</v>
      </c>
      <c r="AS59" s="38">
        <f>IFERROR(RadSpec!$J$7*AS7,".")*$B$59</f>
        <v>1.2076185698630138E-12</v>
      </c>
      <c r="AT59" s="47">
        <f t="shared" si="104"/>
        <v>2.2755000000000001E-6</v>
      </c>
      <c r="AU59" s="47">
        <f t="shared" si="104"/>
        <v>1.2076185698630138E-12</v>
      </c>
      <c r="AV59" s="47">
        <f t="shared" si="105"/>
        <v>2.2755012076185698E-6</v>
      </c>
    </row>
    <row r="60" spans="1:48" x14ac:dyDescent="0.25">
      <c r="A60" s="29" t="s">
        <v>316</v>
      </c>
      <c r="B60" s="33">
        <v>1.9000000000000001E-8</v>
      </c>
      <c r="C60" s="109"/>
      <c r="D60" s="30">
        <f>IFERROR(D12/$B60,0)</f>
        <v>0</v>
      </c>
      <c r="E60" s="30">
        <f>IFERROR(E12/$B60,0)</f>
        <v>0</v>
      </c>
      <c r="F60" s="30">
        <f>IFERROR(F12/$B60,0)</f>
        <v>6042592642.7285414</v>
      </c>
      <c r="G60" s="30">
        <f t="shared" si="63"/>
        <v>6042592642.7285414</v>
      </c>
      <c r="H60" s="38">
        <f>IFERROR(RadSpec!$I$12*H12,".")*$B$60</f>
        <v>0</v>
      </c>
      <c r="I60" s="38">
        <f>IFERROR(RadSpec!$G$12*I12,".")*$B$60</f>
        <v>0</v>
      </c>
      <c r="J60" s="38">
        <f>IFERROR(RadSpec!$F$12*J12,".")*$B$60</f>
        <v>1.6549187726618763E-16</v>
      </c>
      <c r="K60" s="47">
        <f t="shared" si="94"/>
        <v>0</v>
      </c>
      <c r="L60" s="47">
        <f t="shared" si="94"/>
        <v>0</v>
      </c>
      <c r="M60" s="47">
        <f t="shared" si="94"/>
        <v>1.6549187726618763E-16</v>
      </c>
      <c r="N60" s="47">
        <f t="shared" si="95"/>
        <v>1.6549187726618763E-16</v>
      </c>
      <c r="O60" s="30">
        <f>IFERROR(O12/$B60,0)</f>
        <v>0</v>
      </c>
      <c r="P60" s="30">
        <f>IFERROR(P12/$B60,0)</f>
        <v>0</v>
      </c>
      <c r="Q60" s="30">
        <f>IFERROR(Q12/$B60,0)</f>
        <v>6042592642.7285414</v>
      </c>
      <c r="R60" s="30">
        <f t="shared" si="96"/>
        <v>6042592642.7285414</v>
      </c>
      <c r="S60" s="38">
        <f>IFERROR(RadSpec!$I$12*S12,".")*$B$60</f>
        <v>0</v>
      </c>
      <c r="T60" s="38">
        <f>IFERROR(RadSpec!$G$12*T12,".")*$B$60</f>
        <v>0</v>
      </c>
      <c r="U60" s="38">
        <f>IFERROR(RadSpec!$F$12*U12,".")*$B$60</f>
        <v>1.6549187726618763E-16</v>
      </c>
      <c r="V60" s="47">
        <f t="shared" si="97"/>
        <v>0</v>
      </c>
      <c r="W60" s="47">
        <f t="shared" si="98"/>
        <v>0</v>
      </c>
      <c r="X60" s="47">
        <f t="shared" si="99"/>
        <v>1.6549187726618763E-16</v>
      </c>
      <c r="Y60" s="47">
        <f t="shared" si="100"/>
        <v>1.6549187726618763E-16</v>
      </c>
      <c r="Z60" s="30">
        <f t="shared" ref="Z60:AP60" si="116">IFERROR(Z12/$B60,0)</f>
        <v>6042592642.7285414</v>
      </c>
      <c r="AA60" s="30">
        <f t="shared" si="116"/>
        <v>42136064402.639709</v>
      </c>
      <c r="AB60" s="30">
        <f t="shared" si="116"/>
        <v>10492706233.598509</v>
      </c>
      <c r="AC60" s="30">
        <f t="shared" si="116"/>
        <v>6069109183.7770042</v>
      </c>
      <c r="AD60" s="30">
        <f t="shared" si="116"/>
        <v>54501106679.768967</v>
      </c>
      <c r="AE60" s="38">
        <f>IFERROR(RadSpec!$F$12*AE12,".")*$B$60</f>
        <v>1.6549187726618763E-16</v>
      </c>
      <c r="AF60" s="38">
        <f>IFERROR(RadSpec!$M$12*AF12,".")*$B$60</f>
        <v>2.3732638873063637E-17</v>
      </c>
      <c r="AG60" s="38">
        <f>IFERROR(RadSpec!$N$12*AG12,".")*$B$60</f>
        <v>9.5304297836712279E-17</v>
      </c>
      <c r="AH60" s="38">
        <f>IFERROR(RadSpec!$O$12*AH12,".")*$B$60</f>
        <v>1.6476882681119723E-16</v>
      </c>
      <c r="AI60" s="38">
        <f>IFERROR(RadSpec!$K$12*AI12,".")*$B$60</f>
        <v>1.8348251272688452E-17</v>
      </c>
      <c r="AJ60" s="47">
        <f t="shared" si="102"/>
        <v>1.6549187726618763E-16</v>
      </c>
      <c r="AK60" s="47">
        <f t="shared" si="102"/>
        <v>2.3732638873063637E-17</v>
      </c>
      <c r="AL60" s="47">
        <f t="shared" si="102"/>
        <v>9.5304297836712279E-17</v>
      </c>
      <c r="AM60" s="47">
        <f t="shared" si="102"/>
        <v>1.6476882681119723E-16</v>
      </c>
      <c r="AN60" s="47">
        <f t="shared" si="102"/>
        <v>1.8348251272688452E-17</v>
      </c>
      <c r="AO60" s="30">
        <f t="shared" si="116"/>
        <v>0</v>
      </c>
      <c r="AP60" s="30">
        <f t="shared" si="116"/>
        <v>464542965862.09283</v>
      </c>
      <c r="AQ60" s="30">
        <f t="shared" si="103"/>
        <v>464542965862.09283</v>
      </c>
      <c r="AR60" s="38">
        <f>IFERROR(RadSpec!$G$12*AR12,".")*$B$60</f>
        <v>0</v>
      </c>
      <c r="AS60" s="38">
        <f>IFERROR(RadSpec!$J$12*AS12,".")*$B$60</f>
        <v>2.1526534109589039E-18</v>
      </c>
      <c r="AT60" s="47">
        <f t="shared" si="104"/>
        <v>0</v>
      </c>
      <c r="AU60" s="47">
        <f t="shared" si="104"/>
        <v>2.1526534109589039E-18</v>
      </c>
      <c r="AV60" s="47">
        <f t="shared" si="105"/>
        <v>2.1526534109589039E-18</v>
      </c>
    </row>
    <row r="61" spans="1:48" x14ac:dyDescent="0.25">
      <c r="A61" s="29" t="s">
        <v>317</v>
      </c>
      <c r="B61" s="24">
        <v>1</v>
      </c>
      <c r="C61" s="109"/>
      <c r="D61" s="30">
        <f>IFERROR(D18/$B61,0)</f>
        <v>8.4433074123795766</v>
      </c>
      <c r="E61" s="30">
        <f>IFERROR(E18/$B61,0)</f>
        <v>10.702280857743254</v>
      </c>
      <c r="F61" s="30">
        <f>IFERROR(F18/$B61,0)</f>
        <v>1033258.7518648753</v>
      </c>
      <c r="G61" s="30">
        <f t="shared" si="63"/>
        <v>4.7197418674302423</v>
      </c>
      <c r="H61" s="38">
        <f>IFERROR(RadSpec!$I$18*H18,".")*$B$61</f>
        <v>1.18437E-7</v>
      </c>
      <c r="I61" s="38">
        <f>IFERROR(RadSpec!$G$18*I18,".")*$B$61</f>
        <v>9.3438026276098497E-8</v>
      </c>
      <c r="J61" s="38">
        <f>IFERROR(RadSpec!$F$18*J18,".")*$B$61</f>
        <v>9.6781178789451498E-13</v>
      </c>
      <c r="K61" s="47">
        <f t="shared" si="94"/>
        <v>1.18437E-7</v>
      </c>
      <c r="L61" s="47">
        <f t="shared" si="94"/>
        <v>9.3438026276098497E-8</v>
      </c>
      <c r="M61" s="47">
        <f t="shared" si="94"/>
        <v>9.6781178789451498E-13</v>
      </c>
      <c r="N61" s="47">
        <f t="shared" si="95"/>
        <v>2.1187599408788641E-7</v>
      </c>
      <c r="O61" s="30">
        <f>IFERROR(O18/$B61,0)</f>
        <v>8.4433074123795766</v>
      </c>
      <c r="P61" s="30">
        <f>IFERROR(P18/$B61,0)</f>
        <v>1636.5978032148166</v>
      </c>
      <c r="Q61" s="30">
        <f>IFERROR(Q18/$B61,0)</f>
        <v>1033258.7518648753</v>
      </c>
      <c r="R61" s="30">
        <f t="shared" si="96"/>
        <v>8.3999031619904603</v>
      </c>
      <c r="S61" s="38">
        <f>IFERROR(RadSpec!$I$18*S18,".")*$B$61</f>
        <v>1.18437E-7</v>
      </c>
      <c r="T61" s="38">
        <f>IFERROR(RadSpec!$G$18*T18,".")*$B$61</f>
        <v>6.1102367242316422E-10</v>
      </c>
      <c r="U61" s="38">
        <f>IFERROR(RadSpec!$F$18*U18,".")*$B$61</f>
        <v>9.6781178789451498E-13</v>
      </c>
      <c r="V61" s="47">
        <f t="shared" si="97"/>
        <v>1.18437E-7</v>
      </c>
      <c r="W61" s="47">
        <f t="shared" si="98"/>
        <v>6.1102367242316422E-10</v>
      </c>
      <c r="X61" s="47">
        <f t="shared" si="99"/>
        <v>9.6781178789451498E-13</v>
      </c>
      <c r="Y61" s="47">
        <f t="shared" si="100"/>
        <v>1.1904899148421106E-7</v>
      </c>
      <c r="Z61" s="30">
        <f t="shared" ref="Z61:AP61" si="117">IFERROR(Z18/$B61,0)</f>
        <v>1033258.7518648753</v>
      </c>
      <c r="AA61" s="30">
        <f t="shared" si="117"/>
        <v>10822557.207707774</v>
      </c>
      <c r="AB61" s="30">
        <f t="shared" si="117"/>
        <v>2546908.3221597336</v>
      </c>
      <c r="AC61" s="30">
        <f t="shared" si="117"/>
        <v>1266767.6633191966</v>
      </c>
      <c r="AD61" s="30">
        <f t="shared" si="117"/>
        <v>16831369.280441687</v>
      </c>
      <c r="AE61" s="38">
        <f>IFERROR(RadSpec!$F$18*AE18,".")*$B$61</f>
        <v>9.6781178789451498E-13</v>
      </c>
      <c r="AF61" s="38">
        <f>IFERROR(RadSpec!$M$18*AF18,".")*$B$61</f>
        <v>9.2399603976018223E-14</v>
      </c>
      <c r="AG61" s="38">
        <f>IFERROR(RadSpec!$N$18*AG18,".")*$B$61</f>
        <v>3.9263289977866867E-13</v>
      </c>
      <c r="AH61" s="38">
        <f>IFERROR(RadSpec!$O$18*AH18,".")*$B$61</f>
        <v>7.8941074117710771E-13</v>
      </c>
      <c r="AI61" s="38">
        <f>IFERROR(RadSpec!$K$18*AI18,".")*$B$61</f>
        <v>5.9412872674715506E-14</v>
      </c>
      <c r="AJ61" s="47">
        <f t="shared" si="102"/>
        <v>9.6781178789451498E-13</v>
      </c>
      <c r="AK61" s="47">
        <f t="shared" si="102"/>
        <v>9.2399603976018223E-14</v>
      </c>
      <c r="AL61" s="47">
        <f t="shared" si="102"/>
        <v>3.9263289977866867E-13</v>
      </c>
      <c r="AM61" s="47">
        <f t="shared" si="102"/>
        <v>7.8941074117710771E-13</v>
      </c>
      <c r="AN61" s="47">
        <f t="shared" si="102"/>
        <v>5.9412872674715506E-14</v>
      </c>
      <c r="AO61" s="30">
        <f t="shared" si="117"/>
        <v>1.3789299503585218E-2</v>
      </c>
      <c r="AP61" s="30">
        <f t="shared" si="117"/>
        <v>104781688.52894972</v>
      </c>
      <c r="AQ61" s="30">
        <f t="shared" si="103"/>
        <v>1.3789299501770543E-2</v>
      </c>
      <c r="AR61" s="38">
        <f>IFERROR(RadSpec!$G$18*AR18,".")*$B$61</f>
        <v>7.2520000000000004E-5</v>
      </c>
      <c r="AS61" s="38">
        <f>IFERROR(RadSpec!$J$18*AS18,".")*$B$61</f>
        <v>9.5436522739726025E-15</v>
      </c>
      <c r="AT61" s="47">
        <f t="shared" si="104"/>
        <v>7.2520000000000004E-5</v>
      </c>
      <c r="AU61" s="47">
        <f t="shared" si="104"/>
        <v>9.5436522739726025E-15</v>
      </c>
      <c r="AV61" s="47">
        <f t="shared" si="105"/>
        <v>7.2520000009543653E-5</v>
      </c>
    </row>
    <row r="62" spans="1:48" x14ac:dyDescent="0.25">
      <c r="A62" s="29" t="s">
        <v>318</v>
      </c>
      <c r="B62" s="24">
        <v>1.339E-6</v>
      </c>
      <c r="C62" s="109"/>
      <c r="D62" s="30">
        <f>IFERROR(D27/$B62,0)</f>
        <v>0</v>
      </c>
      <c r="E62" s="30">
        <f>IFERROR(E27/$B62,0)</f>
        <v>0</v>
      </c>
      <c r="F62" s="30">
        <f>IFERROR(F27/$B62,0)</f>
        <v>5848105570.9794712</v>
      </c>
      <c r="G62" s="30">
        <f t="shared" ref="G62" si="118">IFERROR(SUM(D62:F62),0)</f>
        <v>5848105570.9794712</v>
      </c>
      <c r="H62" s="38">
        <f>IFERROR(RadSpec!$I$27*H27,".")*$B$62</f>
        <v>0</v>
      </c>
      <c r="I62" s="38">
        <f>IFERROR(RadSpec!$G$27*I27,".")*$B$62</f>
        <v>0</v>
      </c>
      <c r="J62" s="38">
        <f>IFERROR(RadSpec!$F$27*J27,".")*$B$62</f>
        <v>1.7099554511505078E-16</v>
      </c>
      <c r="K62" s="47">
        <f t="shared" si="94"/>
        <v>0</v>
      </c>
      <c r="L62" s="47">
        <f t="shared" si="94"/>
        <v>0</v>
      </c>
      <c r="M62" s="47">
        <f t="shared" si="94"/>
        <v>1.7099554511505078E-16</v>
      </c>
      <c r="N62" s="47">
        <f t="shared" si="95"/>
        <v>1.7099554511505078E-16</v>
      </c>
      <c r="O62" s="30">
        <f>IFERROR(O27/$B62,0)</f>
        <v>0</v>
      </c>
      <c r="P62" s="30">
        <f>IFERROR(P27/$B62,0)</f>
        <v>0</v>
      </c>
      <c r="Q62" s="30">
        <f>IFERROR(Q27/$B62,0)</f>
        <v>5848105570.9794712</v>
      </c>
      <c r="R62" s="30">
        <f t="shared" ref="R62" si="119">IFERROR(SUM(O62:Q62),0)</f>
        <v>5848105570.9794712</v>
      </c>
      <c r="S62" s="38">
        <f>IFERROR(RadSpec!$I$27*S27,".")*$B$62</f>
        <v>0</v>
      </c>
      <c r="T62" s="38">
        <f>IFERROR(RadSpec!$G$27*T27,".")*$B$62</f>
        <v>0</v>
      </c>
      <c r="U62" s="38">
        <f>IFERROR(RadSpec!$F$27*U27,".")*$B$62</f>
        <v>1.7099554511505078E-16</v>
      </c>
      <c r="V62" s="47">
        <f t="shared" si="97"/>
        <v>0</v>
      </c>
      <c r="W62" s="47">
        <f t="shared" si="98"/>
        <v>0</v>
      </c>
      <c r="X62" s="47">
        <f t="shared" si="99"/>
        <v>1.7099554511505078E-16</v>
      </c>
      <c r="Y62" s="47">
        <f t="shared" si="100"/>
        <v>1.7099554511505078E-16</v>
      </c>
      <c r="Z62" s="30">
        <f t="shared" ref="Z62:AP62" si="120">IFERROR(Z27/$B62,0)</f>
        <v>5848105570.9794712</v>
      </c>
      <c r="AA62" s="30">
        <f t="shared" si="120"/>
        <v>26459798385.942795</v>
      </c>
      <c r="AB62" s="30">
        <f t="shared" si="120"/>
        <v>9837403809.1372757</v>
      </c>
      <c r="AC62" s="30">
        <f t="shared" si="120"/>
        <v>6561613651.1776857</v>
      </c>
      <c r="AD62" s="30">
        <f t="shared" si="120"/>
        <v>5643312397.1997566</v>
      </c>
      <c r="AE62" s="38">
        <f>IFERROR(RadSpec!$F$27*AE27,".")*$B$62</f>
        <v>1.7099554511505078E-16</v>
      </c>
      <c r="AF62" s="38">
        <f>IFERROR(RadSpec!$M$27*AF27,".")*$B$62</f>
        <v>3.7793182903890393E-17</v>
      </c>
      <c r="AG62" s="38">
        <f>IFERROR(RadSpec!$N$27*AG27,".")*$B$62</f>
        <v>1.0165283639888504E-16</v>
      </c>
      <c r="AH62" s="38">
        <f>IFERROR(RadSpec!$O$27*AH27,".")*$B$62</f>
        <v>1.5240153614050698E-16</v>
      </c>
      <c r="AI62" s="38">
        <f>IFERROR(RadSpec!$K$27*AI27,".")*$B$62</f>
        <v>1.7720089366241813E-16</v>
      </c>
      <c r="AJ62" s="47">
        <f t="shared" si="102"/>
        <v>1.7099554511505078E-16</v>
      </c>
      <c r="AK62" s="47">
        <f t="shared" si="102"/>
        <v>3.7793182903890393E-17</v>
      </c>
      <c r="AL62" s="47">
        <f t="shared" si="102"/>
        <v>1.0165283639888504E-16</v>
      </c>
      <c r="AM62" s="47">
        <f t="shared" si="102"/>
        <v>1.5240153614050698E-16</v>
      </c>
      <c r="AN62" s="47">
        <f t="shared" si="102"/>
        <v>1.7720089366241813E-16</v>
      </c>
      <c r="AO62" s="30">
        <f t="shared" si="120"/>
        <v>0</v>
      </c>
      <c r="AP62" s="30">
        <f t="shared" si="120"/>
        <v>348010191098.05682</v>
      </c>
      <c r="AQ62" s="30">
        <f t="shared" si="103"/>
        <v>348010191098.05682</v>
      </c>
      <c r="AR62" s="38">
        <f>IFERROR(RadSpec!$G$27*AR27,".")*$B$62</f>
        <v>0</v>
      </c>
      <c r="AS62" s="38">
        <f>IFERROR(RadSpec!$J$27*AS27,".")*$B$62</f>
        <v>2.8734790692328767E-18</v>
      </c>
      <c r="AT62" s="47">
        <f t="shared" si="104"/>
        <v>0</v>
      </c>
      <c r="AU62" s="47">
        <f t="shared" si="104"/>
        <v>2.8734790692328767E-18</v>
      </c>
      <c r="AV62" s="47">
        <f t="shared" si="105"/>
        <v>2.8734790692328767E-18</v>
      </c>
    </row>
    <row r="63" spans="1:48" x14ac:dyDescent="0.25">
      <c r="A63" s="26" t="s">
        <v>35</v>
      </c>
      <c r="B63" s="26" t="s">
        <v>289</v>
      </c>
      <c r="C63" s="110"/>
      <c r="D63" s="27">
        <f>1/SUM(1/D66,1/D68,1/D72,1/D73,1/D75)</f>
        <v>5.9443793680666577</v>
      </c>
      <c r="E63" s="27">
        <f>1/SUM(1/E64,1/E65,1/E66,1/E68,1/E72,1/E73,1/E75)</f>
        <v>5.0092636344578265</v>
      </c>
      <c r="F63" s="27">
        <f>1/SUM(1/F64,1/F65,1/F66,1/F67,1/F68,1/F69,1/F70,1/F71,1/F72,1/F73,1/F74,1/F75,1/F76)</f>
        <v>5.6923461431604414</v>
      </c>
      <c r="G63" s="28">
        <f>1/SUM(1/G64,1/G65,1/G66,1/G67,1/G68,1/G69,1/G70,1/G71,1/G72,1/G73,1/G74,1/G75,1/G76)</f>
        <v>1.8398222436294005</v>
      </c>
      <c r="H63" s="45"/>
      <c r="I63" s="45"/>
      <c r="J63" s="45"/>
      <c r="K63" s="46">
        <f>IFERROR(IF(SUM(H64:H76)&gt;0.01,1-EXP(-SUM(H64:H76)),SUM(H64:H76)),".")</f>
        <v>1.6822614070899021E-7</v>
      </c>
      <c r="L63" s="46">
        <f>IFERROR(IF(SUM(I64:I76)&gt;0.01,1-EXP(-SUM(I64:I76)),SUM(I64:I76)),".")</f>
        <v>1.9963013987149316E-7</v>
      </c>
      <c r="M63" s="46">
        <f>IFERROR(IF(SUM(J64:J76)&gt;0.01,1-EXP(-SUM(J64:J76)),SUM(J64:J76)),".")</f>
        <v>1.7567448901566462E-7</v>
      </c>
      <c r="N63" s="46">
        <f>IFERROR(IF(SUM(H64:J76)&gt;0.01,1-EXP(-SUM(H64:J76)),SUM(H64:J76)),".")</f>
        <v>5.4353076959614802E-7</v>
      </c>
      <c r="O63" s="27">
        <f>1/SUM(1/O66,1/O68,1/O72,1/O73,1/O75)</f>
        <v>5.9443793680666577</v>
      </c>
      <c r="P63" s="27">
        <f>1/SUM(1/P64,1/P65,1/P66,1/P68,1/P72,1/P73,1/P75)</f>
        <v>766.01894202263111</v>
      </c>
      <c r="Q63" s="27">
        <f>1/SUM(1/Q64,1/Q65,1/Q66,1/Q67,1/Q68,1/Q69,1/Q70,1/Q71,1/Q72,1/Q73,1/Q74,1/Q75,1/Q76)</f>
        <v>5.6923461431604414</v>
      </c>
      <c r="R63" s="28">
        <f>1/SUM(1/R64,1/R65,1/R66,1/R67,1/R68,1/R69,1/R70,1/R71,1/R72,1/R73,1/R74,1/R75,1/R76)</f>
        <v>2.8968203533205483</v>
      </c>
      <c r="S63" s="45"/>
      <c r="T63" s="45"/>
      <c r="U63" s="45"/>
      <c r="V63" s="46">
        <f>IFERROR(IF(SUM(S64:S76)&gt;0.01,1-EXP(-SUM(S64:S76)),SUM(S64:S76)),".")</f>
        <v>1.6822614070899021E-7</v>
      </c>
      <c r="W63" s="46">
        <f>IFERROR(IF(SUM(T64:T76)&gt;0.01,1-EXP(-SUM(T64:T76)),SUM(T64:T76)),".")</f>
        <v>1.3054507468960946E-9</v>
      </c>
      <c r="X63" s="46">
        <f>IFERROR(IF(SUM(U64:U76)&gt;0.01,1-EXP(-SUM(U64:U76)),SUM(U64:U76)),".")</f>
        <v>1.7567448901566462E-7</v>
      </c>
      <c r="Y63" s="46">
        <f>IFERROR(IF(SUM(S64:U76)&gt;0.01,1-EXP(-SUM(S64:U76)),SUM(S64:U76)),".")</f>
        <v>3.4520608047155094E-7</v>
      </c>
      <c r="Z63" s="27">
        <f t="shared" ref="Z63:AD63" si="121">1/SUM(1/Z64,1/Z65,1/Z66,1/Z67,1/Z68,1/Z69,1/Z70,1/Z71,1/Z72,1/Z73,1/Z74,1/Z75,1/Z76)</f>
        <v>5.6923461431604414</v>
      </c>
      <c r="AA63" s="27">
        <f t="shared" si="121"/>
        <v>63.739612496863266</v>
      </c>
      <c r="AB63" s="27">
        <f t="shared" si="121"/>
        <v>14.923632310815218</v>
      </c>
      <c r="AC63" s="27">
        <f t="shared" si="121"/>
        <v>7.344547153003953</v>
      </c>
      <c r="AD63" s="27">
        <f t="shared" si="121"/>
        <v>93.639572369454257</v>
      </c>
      <c r="AE63" s="45"/>
      <c r="AF63" s="45"/>
      <c r="AG63" s="45"/>
      <c r="AH63" s="45"/>
      <c r="AI63" s="45"/>
      <c r="AJ63" s="46">
        <f>IFERROR(IF(SUM(AE64:AE76)&gt;0.01,1-EXP(-SUM(AE64:AE76)),SUM(AE64:AE76)),".")</f>
        <v>1.7567448901566462E-7</v>
      </c>
      <c r="AK63" s="46">
        <f t="shared" ref="AK63:AN63" si="122">IFERROR(IF(SUM(AF64:AF76)&gt;0.01,1-EXP(-SUM(AF64:AF76)),SUM(AF64:AF76)),".")</f>
        <v>1.568883096648264E-8</v>
      </c>
      <c r="AL63" s="46">
        <f t="shared" si="122"/>
        <v>6.7007815468308983E-8</v>
      </c>
      <c r="AM63" s="46">
        <f t="shared" si="122"/>
        <v>1.3615543329870177E-7</v>
      </c>
      <c r="AN63" s="46">
        <f t="shared" si="122"/>
        <v>1.0679245502865517E-8</v>
      </c>
      <c r="AO63" s="27">
        <f>1/SUM(1/AO64,1/AO65,1/AO66,1/AO68,1/AO72,1/AO73,1/AO75)</f>
        <v>6.4541603295694295E-3</v>
      </c>
      <c r="AP63" s="27">
        <f t="shared" ref="AP63:AQ63" si="123">1/SUM(1/AP64,1/AP65,1/AP66,1/AP67,1/AP68,1/AP69,1/AP70,1/AP71,1/AP72,1/AP73,1/AP74,1/AP75,1/AP76)</f>
        <v>567.09973695535837</v>
      </c>
      <c r="AQ63" s="28">
        <f t="shared" si="123"/>
        <v>6.4540868756269177E-3</v>
      </c>
      <c r="AR63" s="45"/>
      <c r="AS63" s="45"/>
      <c r="AT63" s="46">
        <f>IFERROR(IF(SUM(AR64:AR76)&gt;0.01,1-EXP(-SUM(AR64:AR76)),SUM(AR64:AR76)),".")</f>
        <v>1.549388222382E-4</v>
      </c>
      <c r="AU63" s="46">
        <f>IFERROR(IF(SUM(AS64:AS76)&gt;0.01,1-EXP(-SUM(AS64:AS76)),SUM(AS64:AS76)),".")</f>
        <v>1.7633582504707084E-9</v>
      </c>
      <c r="AV63" s="46">
        <f>IFERROR(IF(SUM(AR64:AS76)&gt;0.01,1-EXP(-SUM(AR64:AS76)),SUM(AR64:AS76)),".")</f>
        <v>1.5494058559645049E-4</v>
      </c>
    </row>
    <row r="64" spans="1:48" x14ac:dyDescent="0.25">
      <c r="A64" s="29" t="s">
        <v>306</v>
      </c>
      <c r="B64" s="34">
        <v>1</v>
      </c>
      <c r="C64" s="2"/>
      <c r="D64" s="30">
        <f>IFERROR(D25/$B50,0)</f>
        <v>0</v>
      </c>
      <c r="E64" s="30">
        <f>IFERROR(E25/$B50,0)</f>
        <v>68081.527000310583</v>
      </c>
      <c r="F64" s="30">
        <f>IFERROR(F25/$B50,0)</f>
        <v>29759.22754488196</v>
      </c>
      <c r="G64" s="30">
        <f t="shared" ref="G64:G76" si="124">IF(AND(D64&lt;&gt;0,E64&lt;&gt;0,F64&lt;&gt;0),1/((1/D64)+(1/E64)+(1/F64)),IF(AND(D64&lt;&gt;0,E64&lt;&gt;0,F64=0), 1/((1/D64)+(1/E64)),IF(AND(D64&lt;&gt;0,E64=0,F64&lt;&gt;0),1/((1/D64)+(1/F64)),IF(AND(D64=0,E64&lt;&gt;0,F64&lt;&gt;0),1/((1/E64)+(1/F64)),IF(AND(D64&lt;&gt;0,E64=0,F64=0),1/((1/D64)),IF(AND(D64=0,E64&lt;&gt;0,F64=0),1/((1/E64)),IF(AND(D64=0,E64=0,F64&lt;&gt;0),1/((1/F64)),IF(AND(D64=0,E64=0,F64=0),0))))))))</f>
        <v>20707.66587015062</v>
      </c>
      <c r="H64" s="38">
        <f>IFERROR(RadSpec!$I$25*H25,".")*$B$64</f>
        <v>0</v>
      </c>
      <c r="I64" s="38">
        <f>IFERROR(RadSpec!$G$25*I25,".")*$B$64</f>
        <v>1.4688272194532857E-11</v>
      </c>
      <c r="J64" s="38">
        <f>IFERROR(RadSpec!$F$25*J25,".")*$B$64</f>
        <v>3.3603022742839357E-11</v>
      </c>
      <c r="K64" s="47">
        <f t="shared" ref="K64:M76" si="125">IFERROR(IF(H64&gt;0.01,1-EXP(-H64),H64),".")</f>
        <v>0</v>
      </c>
      <c r="L64" s="47">
        <f t="shared" si="125"/>
        <v>1.4688272194532857E-11</v>
      </c>
      <c r="M64" s="47">
        <f t="shared" si="125"/>
        <v>3.3603022742839357E-11</v>
      </c>
      <c r="N64" s="47">
        <f t="shared" ref="N64:N76" si="126">IFERROR(IF(SUM(H64:J64)&gt;0.01,1-EXP(-SUM(H64:J64)),SUM(H64:J64)),".")</f>
        <v>4.8291294937372217E-11</v>
      </c>
      <c r="O64" s="30">
        <f>IFERROR(O25/$B50,0)</f>
        <v>0</v>
      </c>
      <c r="P64" s="30">
        <f>IFERROR(P25/$B50,0)</f>
        <v>10411059.007819165</v>
      </c>
      <c r="Q64" s="30">
        <f>IFERROR(Q25/$B50,0)</f>
        <v>29759.22754488196</v>
      </c>
      <c r="R64" s="30">
        <f t="shared" ref="R64:R76" si="127">IF(AND(O64&lt;&gt;0,P64&lt;&gt;0,Q64&lt;&gt;0),1/((1/O64)+(1/P64)+(1/Q64)),IF(AND(O64&lt;&gt;0,P64&lt;&gt;0,Q64=0), 1/((1/O64)+(1/P64)),IF(AND(O64&lt;&gt;0,P64=0,Q64&lt;&gt;0),1/((1/O64)+(1/Q64)),IF(AND(O64=0,P64&lt;&gt;0,Q64&lt;&gt;0),1/((1/P64)+(1/Q64)),IF(AND(O64&lt;&gt;0,P64=0,Q64=0),1/((1/O64)),IF(AND(O64=0,P64&lt;&gt;0,Q64=0),1/((1/P64)),IF(AND(O64=0,P64=0,Q64&lt;&gt;0),1/((1/Q64)),IF(AND(O64=0,P64=0,Q64=0),0))))))))</f>
        <v>29674.405493189839</v>
      </c>
      <c r="S64" s="38">
        <f>IFERROR(RadSpec!$I$25*S25,".")*$B$64</f>
        <v>0</v>
      </c>
      <c r="T64" s="38">
        <f>IFERROR(RadSpec!$G$25*T25,".")*$B$64</f>
        <v>9.6051708020188516E-14</v>
      </c>
      <c r="U64" s="38">
        <f>IFERROR(RadSpec!$F$25*U25,".")*$B$64</f>
        <v>3.3603022742839357E-11</v>
      </c>
      <c r="V64" s="47">
        <f t="shared" ref="V64:V76" si="128">IFERROR(IF(S64&gt;0.01,1-EXP(-S64),S64),".")</f>
        <v>0</v>
      </c>
      <c r="W64" s="47">
        <f t="shared" ref="W64:W76" si="129">IFERROR(IF(T64&gt;0.01,1-EXP(-T64),T64),".")</f>
        <v>9.6051708020188516E-14</v>
      </c>
      <c r="X64" s="47">
        <f t="shared" ref="X64:X76" si="130">IFERROR(IF(U64&gt;0.01,1-EXP(-U64),U64),".")</f>
        <v>3.3603022742839357E-11</v>
      </c>
      <c r="Y64" s="47">
        <f t="shared" ref="Y64:Y76" si="131">IFERROR(IF(SUM(S64:U64)&gt;0.01,1-EXP(-SUM(S64:U64)),SUM(S64:U64)),".")</f>
        <v>3.3699074450859548E-11</v>
      </c>
      <c r="Z64" s="30">
        <f t="shared" ref="Z64:AP64" si="132">IFERROR(Z25/$B50,0)</f>
        <v>29759.22754488196</v>
      </c>
      <c r="AA64" s="30">
        <f t="shared" si="132"/>
        <v>258677.37734364095</v>
      </c>
      <c r="AB64" s="30">
        <f t="shared" si="132"/>
        <v>62465.669317942309</v>
      </c>
      <c r="AC64" s="30">
        <f t="shared" si="132"/>
        <v>32993.590197953672</v>
      </c>
      <c r="AD64" s="30">
        <f t="shared" si="132"/>
        <v>398362.96395730542</v>
      </c>
      <c r="AE64" s="38">
        <f>IFERROR(RadSpec!$F$25*AE25,".")*$B$64</f>
        <v>3.3603022742839357E-11</v>
      </c>
      <c r="AF64" s="38">
        <f>IFERROR(RadSpec!$M$25*AF25,".")*$B$64</f>
        <v>3.8658193084722138E-12</v>
      </c>
      <c r="AG64" s="38">
        <f>IFERROR(RadSpec!$N$25*AG25,".")*$B$64</f>
        <v>1.6008793484788055E-11</v>
      </c>
      <c r="AH64" s="38">
        <f>IFERROR(RadSpec!$O$25*AH25,".")*$B$64</f>
        <v>3.0308917398811056E-11</v>
      </c>
      <c r="AI64" s="38">
        <f>IFERROR(RadSpec!$K$25*AI25,".")*$B$64</f>
        <v>2.5102735205755098E-12</v>
      </c>
      <c r="AJ64" s="47">
        <f t="shared" ref="AJ64:AN76" si="133">IFERROR(IF(AE64&gt;0.01,1-EXP(-AE64),AE64),".")</f>
        <v>3.3603022742839357E-11</v>
      </c>
      <c r="AK64" s="47">
        <f t="shared" si="133"/>
        <v>3.8658193084722138E-12</v>
      </c>
      <c r="AL64" s="47">
        <f t="shared" si="133"/>
        <v>1.6008793484788055E-11</v>
      </c>
      <c r="AM64" s="47">
        <f t="shared" si="133"/>
        <v>3.0308917398811056E-11</v>
      </c>
      <c r="AN64" s="47">
        <f t="shared" si="133"/>
        <v>2.5102735205755098E-12</v>
      </c>
      <c r="AO64" s="30">
        <f t="shared" si="132"/>
        <v>87.719298245614041</v>
      </c>
      <c r="AP64" s="30">
        <f t="shared" si="132"/>
        <v>2698693.8484434532</v>
      </c>
      <c r="AQ64" s="30">
        <f t="shared" ref="AQ64:AQ76" si="134">IFERROR(IF(AND(AO64&lt;&gt;0,AP64&lt;&gt;0),1/((1/AO64)+(1/AP64)),IF(AND(AO64&lt;&gt;0,AP64=0),1/((1/AO64)),IF(AND(AO64=0,AP64&lt;&gt;0),1/((1/AP64)),IF(AND(AO64=0,AP64=0),0)))),0)</f>
        <v>87.716447079229681</v>
      </c>
      <c r="AR64" s="38">
        <f>IFERROR(RadSpec!$G$25*AR25,".")*$B$64</f>
        <v>1.14E-8</v>
      </c>
      <c r="AS64" s="38">
        <f>IFERROR(RadSpec!$J$25*AS25,".")*$B$64</f>
        <v>3.7054962739726025E-13</v>
      </c>
      <c r="AT64" s="47">
        <f t="shared" ref="AT64:AU76" si="135">IFERROR(IF(AR64&gt;0.01,1-EXP(-AR64),AR64),".")</f>
        <v>1.14E-8</v>
      </c>
      <c r="AU64" s="47">
        <f t="shared" si="135"/>
        <v>3.7054962739726025E-13</v>
      </c>
      <c r="AV64" s="47">
        <f t="shared" ref="AV64:AV76" si="136">IFERROR(IF(SUM(AR64:AS64)&gt;0.01,1-EXP(-SUM(AR64:AS64)),SUM(AR64:AS64)),".")</f>
        <v>1.1400370549627397E-8</v>
      </c>
    </row>
    <row r="65" spans="1:48" x14ac:dyDescent="0.25">
      <c r="A65" s="29" t="s">
        <v>307</v>
      </c>
      <c r="B65" s="34">
        <v>1</v>
      </c>
      <c r="C65" s="2"/>
      <c r="D65" s="30">
        <f>IFERROR(D21/$B51,0)</f>
        <v>0</v>
      </c>
      <c r="E65" s="30">
        <f>IFERROR(E21/$B51,0)</f>
        <v>11167.329608684038</v>
      </c>
      <c r="F65" s="30">
        <f>IFERROR(F21/$B51,0)</f>
        <v>711259850.08274543</v>
      </c>
      <c r="G65" s="30">
        <f t="shared" si="124"/>
        <v>11167.154275727209</v>
      </c>
      <c r="H65" s="38">
        <f>IFERROR(RadSpec!$I$21*H21,".")*$B$65</f>
        <v>0</v>
      </c>
      <c r="I65" s="38">
        <f>IFERROR(RadSpec!$G$21*I21,".")*$B$65</f>
        <v>8.9546922589476625E-11</v>
      </c>
      <c r="J65" s="38">
        <f>IFERROR(RadSpec!$F$21*J21,".")*$B$65</f>
        <v>1.4059559243835616E-15</v>
      </c>
      <c r="K65" s="47">
        <f t="shared" si="125"/>
        <v>0</v>
      </c>
      <c r="L65" s="47">
        <f t="shared" si="125"/>
        <v>8.9546922589476625E-11</v>
      </c>
      <c r="M65" s="47">
        <f t="shared" si="125"/>
        <v>1.4059559243835616E-15</v>
      </c>
      <c r="N65" s="47">
        <f t="shared" si="126"/>
        <v>8.9548328545401015E-11</v>
      </c>
      <c r="O65" s="30">
        <f>IFERROR(O21/$B51,0)</f>
        <v>0</v>
      </c>
      <c r="P65" s="30">
        <f>IFERROR(P21/$B51,0)</f>
        <v>1707713.2761027117</v>
      </c>
      <c r="Q65" s="30">
        <f>IFERROR(Q21/$B51,0)</f>
        <v>711259850.08274543</v>
      </c>
      <c r="R65" s="30">
        <f t="shared" si="127"/>
        <v>1703622.9292436785</v>
      </c>
      <c r="S65" s="38">
        <f>IFERROR(RadSpec!$I$21*S21,".")*$B$65</f>
        <v>0</v>
      </c>
      <c r="T65" s="38">
        <f>IFERROR(RadSpec!$G$21*T21,".")*$B$65</f>
        <v>5.8557839538623706E-13</v>
      </c>
      <c r="U65" s="38">
        <f>IFERROR(RadSpec!$F$21*U21,".")*$B$65</f>
        <v>1.4059559243835616E-15</v>
      </c>
      <c r="V65" s="47">
        <f t="shared" si="128"/>
        <v>0</v>
      </c>
      <c r="W65" s="47">
        <f t="shared" si="129"/>
        <v>5.8557839538623706E-13</v>
      </c>
      <c r="X65" s="47">
        <f t="shared" si="130"/>
        <v>1.4059559243835616E-15</v>
      </c>
      <c r="Y65" s="47">
        <f t="shared" si="131"/>
        <v>5.869843513106206E-13</v>
      </c>
      <c r="Z65" s="30">
        <f t="shared" ref="Z65:AP65" si="137">IFERROR(Z21/$B51,0)</f>
        <v>711259850.08274543</v>
      </c>
      <c r="AA65" s="30">
        <f t="shared" si="137"/>
        <v>1712681920.3997734</v>
      </c>
      <c r="AB65" s="30">
        <f t="shared" si="137"/>
        <v>814059125.29001737</v>
      </c>
      <c r="AC65" s="30">
        <f t="shared" si="137"/>
        <v>713695671.48713851</v>
      </c>
      <c r="AD65" s="30">
        <f t="shared" si="137"/>
        <v>918057868.16847777</v>
      </c>
      <c r="AE65" s="38">
        <f>IFERROR(RadSpec!$F$21*AE21,".")*$B$65</f>
        <v>1.4059559243835616E-15</v>
      </c>
      <c r="AF65" s="38">
        <f>IFERROR(RadSpec!$M$21*AF21,".")*$B$65</f>
        <v>6.4875508865753427E-16</v>
      </c>
      <c r="AG65" s="38">
        <f>IFERROR(RadSpec!$N$21*AG21,".")*$B$65</f>
        <v>1.2284120021917808E-15</v>
      </c>
      <c r="AH65" s="38">
        <f>IFERROR(RadSpec!$O$21*AH21,".")*$B$65</f>
        <v>1.4011574399999999E-15</v>
      </c>
      <c r="AI65" s="38">
        <f>IFERROR(RadSpec!$K$21*AI21,".")*$B$65</f>
        <v>9.8033035956164383E-16</v>
      </c>
      <c r="AJ65" s="47">
        <f t="shared" si="133"/>
        <v>1.4059559243835616E-15</v>
      </c>
      <c r="AK65" s="47">
        <f t="shared" si="133"/>
        <v>6.4875508865753427E-16</v>
      </c>
      <c r="AL65" s="47">
        <f t="shared" si="133"/>
        <v>1.2284120021917808E-15</v>
      </c>
      <c r="AM65" s="47">
        <f t="shared" si="133"/>
        <v>1.4011574399999999E-15</v>
      </c>
      <c r="AN65" s="47">
        <f t="shared" si="133"/>
        <v>9.8033035956164383E-16</v>
      </c>
      <c r="AO65" s="30">
        <f t="shared" si="137"/>
        <v>14.388489208633091</v>
      </c>
      <c r="AP65" s="30">
        <f t="shared" si="137"/>
        <v>110981788441.90532</v>
      </c>
      <c r="AQ65" s="30">
        <f t="shared" si="134"/>
        <v>14.388489206767664</v>
      </c>
      <c r="AR65" s="38">
        <f>IFERROR(RadSpec!$G$21*AR21,".")*$B$65</f>
        <v>6.9500000000000007E-8</v>
      </c>
      <c r="AS65" s="38">
        <f>IFERROR(RadSpec!$J$21*AS21,".")*$B$65</f>
        <v>9.0104873424657536E-18</v>
      </c>
      <c r="AT65" s="47">
        <f t="shared" si="135"/>
        <v>6.9500000000000007E-8</v>
      </c>
      <c r="AU65" s="47">
        <f t="shared" si="135"/>
        <v>9.0104873424657536E-18</v>
      </c>
      <c r="AV65" s="47">
        <f t="shared" si="136"/>
        <v>6.9500000009010492E-8</v>
      </c>
    </row>
    <row r="66" spans="1:48" x14ac:dyDescent="0.25">
      <c r="A66" s="29" t="s">
        <v>308</v>
      </c>
      <c r="B66" s="35">
        <v>0.99980000000000002</v>
      </c>
      <c r="C66" s="2"/>
      <c r="D66" s="30">
        <f>IFERROR(D17/$B52,0)</f>
        <v>54977.493418201688</v>
      </c>
      <c r="E66" s="30">
        <f>IFERROR(E17/$B52,0)</f>
        <v>1998.158725190445</v>
      </c>
      <c r="F66" s="30">
        <f>IFERROR(F17/$B52,0)</f>
        <v>54.255805326677596</v>
      </c>
      <c r="G66" s="30">
        <f t="shared" si="124"/>
        <v>52.770845673270706</v>
      </c>
      <c r="H66" s="38">
        <f>IFERROR(RadSpec!$I$17*H17,".")*$B$66</f>
        <v>1.818926142E-11</v>
      </c>
      <c r="I66" s="38">
        <f>IFERROR(RadSpec!$G$17*I17,".")*$B$66</f>
        <v>5.0046074287951759E-10</v>
      </c>
      <c r="J66" s="38">
        <f>IFERROR(RadSpec!$F$17*J17,".")*$B$66</f>
        <v>1.843120738838798E-8</v>
      </c>
      <c r="K66" s="47">
        <f t="shared" si="125"/>
        <v>1.818926142E-11</v>
      </c>
      <c r="L66" s="47">
        <f t="shared" si="125"/>
        <v>5.0046074287951759E-10</v>
      </c>
      <c r="M66" s="47">
        <f t="shared" si="125"/>
        <v>1.843120738838798E-8</v>
      </c>
      <c r="N66" s="47">
        <f t="shared" si="126"/>
        <v>1.8949857392687497E-8</v>
      </c>
      <c r="O66" s="30">
        <f>IFERROR(O17/$B52,0)</f>
        <v>54977.493418201688</v>
      </c>
      <c r="P66" s="30">
        <f>IFERROR(P17/$B52,0)</f>
        <v>305559.36847379373</v>
      </c>
      <c r="Q66" s="30">
        <f>IFERROR(Q17/$B52,0)</f>
        <v>54.255805326677596</v>
      </c>
      <c r="R66" s="30">
        <f t="shared" si="127"/>
        <v>54.192701434038419</v>
      </c>
      <c r="S66" s="38">
        <f>IFERROR(RadSpec!$I$17*S17,".")*$B$66</f>
        <v>1.818926142E-11</v>
      </c>
      <c r="T66" s="38">
        <f>IFERROR(RadSpec!$G$17*T17,".")*$B$66</f>
        <v>3.2726864340464973E-12</v>
      </c>
      <c r="U66" s="38">
        <f>IFERROR(RadSpec!$F$17*U17,".")*$B$66</f>
        <v>1.843120738838798E-8</v>
      </c>
      <c r="V66" s="47">
        <f t="shared" si="128"/>
        <v>1.818926142E-11</v>
      </c>
      <c r="W66" s="47">
        <f t="shared" si="129"/>
        <v>3.2726864340464973E-12</v>
      </c>
      <c r="X66" s="47">
        <f t="shared" si="130"/>
        <v>1.843120738838798E-8</v>
      </c>
      <c r="Y66" s="47">
        <f t="shared" si="131"/>
        <v>1.8452669336242027E-8</v>
      </c>
      <c r="Z66" s="30">
        <f t="shared" ref="Z66:AP66" si="138">IFERROR(Z17/$B52,0)</f>
        <v>54.255805326677596</v>
      </c>
      <c r="AA66" s="30">
        <f t="shared" si="138"/>
        <v>382.26267619099622</v>
      </c>
      <c r="AB66" s="30">
        <f t="shared" si="138"/>
        <v>95.770647683319865</v>
      </c>
      <c r="AC66" s="30">
        <f t="shared" si="138"/>
        <v>56.023996643168807</v>
      </c>
      <c r="AD66" s="30">
        <f t="shared" si="138"/>
        <v>478.98185531237988</v>
      </c>
      <c r="AE66" s="38">
        <f>IFERROR(RadSpec!$F$17*AE17,".")*$B$66</f>
        <v>1.843120738838798E-8</v>
      </c>
      <c r="AF66" s="38">
        <f>IFERROR(RadSpec!$M$17*AF17,".")*$B$66</f>
        <v>2.6160021950465116E-9</v>
      </c>
      <c r="AG66" s="38">
        <f>IFERROR(RadSpec!$N$17*AG17,".")*$B$66</f>
        <v>1.044161258370781E-8</v>
      </c>
      <c r="AH66" s="38">
        <f>IFERROR(RadSpec!$O$17*AH17,".")*$B$66</f>
        <v>1.7849494143897949E-8</v>
      </c>
      <c r="AI66" s="38">
        <f>IFERROR(RadSpec!$K$17*AI17,".")*$B$66</f>
        <v>2.0877617573797762E-9</v>
      </c>
      <c r="AJ66" s="47">
        <f t="shared" si="133"/>
        <v>1.843120738838798E-8</v>
      </c>
      <c r="AK66" s="47">
        <f t="shared" si="133"/>
        <v>2.6160021950465116E-9</v>
      </c>
      <c r="AL66" s="47">
        <f t="shared" si="133"/>
        <v>1.044161258370781E-8</v>
      </c>
      <c r="AM66" s="47">
        <f t="shared" si="133"/>
        <v>1.7849494143897949E-8</v>
      </c>
      <c r="AN66" s="47">
        <f t="shared" si="133"/>
        <v>2.0877617573797762E-9</v>
      </c>
      <c r="AO66" s="30">
        <f t="shared" si="138"/>
        <v>2.5745174774980732</v>
      </c>
      <c r="AP66" s="30">
        <f t="shared" si="138"/>
        <v>4297.748953383345</v>
      </c>
      <c r="AQ66" s="30">
        <f t="shared" si="134"/>
        <v>2.572976165481232</v>
      </c>
      <c r="AR66" s="38">
        <f>IFERROR(RadSpec!$G$17*AR17,".")*$B$66</f>
        <v>3.8842230000000001E-7</v>
      </c>
      <c r="AS66" s="38">
        <f>IFERROR(RadSpec!$J$17*AS17,".")*$B$66</f>
        <v>2.3267994730421919E-10</v>
      </c>
      <c r="AT66" s="47">
        <f t="shared" si="135"/>
        <v>3.8842230000000001E-7</v>
      </c>
      <c r="AU66" s="47">
        <f t="shared" si="135"/>
        <v>2.3267994730421919E-10</v>
      </c>
      <c r="AV66" s="47">
        <f t="shared" si="136"/>
        <v>3.8865497994730422E-7</v>
      </c>
    </row>
    <row r="67" spans="1:48" x14ac:dyDescent="0.25">
      <c r="A67" s="29" t="s">
        <v>309</v>
      </c>
      <c r="B67" s="34">
        <v>2.0000000000000001E-4</v>
      </c>
      <c r="C67" s="2"/>
      <c r="D67" s="30">
        <f>IFERROR(D5/$B53,0)</f>
        <v>0</v>
      </c>
      <c r="E67" s="30">
        <f>IFERROR(E5/$B53,0)</f>
        <v>0</v>
      </c>
      <c r="F67" s="30">
        <f>IFERROR(F5/$B53,0)</f>
        <v>886804834.35848677</v>
      </c>
      <c r="G67" s="30">
        <f t="shared" si="124"/>
        <v>886804834.35848677</v>
      </c>
      <c r="H67" s="38">
        <f>IFERROR(RadSpec!$I$5*H5,".")*$B$67</f>
        <v>0</v>
      </c>
      <c r="I67" s="38">
        <f>IFERROR(RadSpec!$G$5*I5,".")*$B$67</f>
        <v>0</v>
      </c>
      <c r="J67" s="38">
        <f>IFERROR(RadSpec!$F$5*J5,".")*$B$67</f>
        <v>1.1276438301369863E-15</v>
      </c>
      <c r="K67" s="47">
        <f t="shared" si="125"/>
        <v>0</v>
      </c>
      <c r="L67" s="47">
        <f t="shared" si="125"/>
        <v>0</v>
      </c>
      <c r="M67" s="47">
        <f t="shared" si="125"/>
        <v>1.1276438301369863E-15</v>
      </c>
      <c r="N67" s="47">
        <f t="shared" si="126"/>
        <v>1.1276438301369863E-15</v>
      </c>
      <c r="O67" s="30">
        <f>IFERROR(O5/$B53,0)</f>
        <v>0</v>
      </c>
      <c r="P67" s="30">
        <f>IFERROR(P5/$B53,0)</f>
        <v>0</v>
      </c>
      <c r="Q67" s="30">
        <f>IFERROR(Q5/$B53,0)</f>
        <v>886804834.35848677</v>
      </c>
      <c r="R67" s="30">
        <f t="shared" si="127"/>
        <v>886804834.35848677</v>
      </c>
      <c r="S67" s="38">
        <f>IFERROR(RadSpec!$I$5*S5,".")*$B$67</f>
        <v>0</v>
      </c>
      <c r="T67" s="38">
        <f>IFERROR(RadSpec!$G$5*T5,".")*$B$67</f>
        <v>0</v>
      </c>
      <c r="U67" s="38">
        <f>IFERROR(RadSpec!$F$5*U5,".")*$B$67</f>
        <v>1.1276438301369863E-15</v>
      </c>
      <c r="V67" s="47">
        <f t="shared" si="128"/>
        <v>0</v>
      </c>
      <c r="W67" s="47">
        <f t="shared" si="129"/>
        <v>0</v>
      </c>
      <c r="X67" s="47">
        <f t="shared" si="130"/>
        <v>1.1276438301369863E-15</v>
      </c>
      <c r="Y67" s="47">
        <f t="shared" si="131"/>
        <v>1.1276438301369863E-15</v>
      </c>
      <c r="Z67" s="30">
        <f t="shared" ref="Z67:AP67" si="139">IFERROR(Z5/$B53,0)</f>
        <v>886804834.35848677</v>
      </c>
      <c r="AA67" s="30">
        <f t="shared" si="139"/>
        <v>3223198714.3381038</v>
      </c>
      <c r="AB67" s="30">
        <f t="shared" si="139"/>
        <v>1319817201.2301738</v>
      </c>
      <c r="AC67" s="30">
        <f t="shared" si="139"/>
        <v>951594228.64951766</v>
      </c>
      <c r="AD67" s="30">
        <f t="shared" si="139"/>
        <v>1218708398.0949967</v>
      </c>
      <c r="AE67" s="38">
        <f>IFERROR(RadSpec!$F$5*AE5,".")*$B$67</f>
        <v>1.1276438301369863E-15</v>
      </c>
      <c r="AF67" s="38">
        <f>IFERROR(RadSpec!$M$5*AF5,".")*$B$67</f>
        <v>3.4472311811506848E-16</v>
      </c>
      <c r="AG67" s="38">
        <f>IFERROR(RadSpec!$N$5*AG5,".")*$B$67</f>
        <v>7.576806841643836E-16</v>
      </c>
      <c r="AH67" s="38">
        <f>IFERROR(RadSpec!$O$5*AH5,".")*$B$67</f>
        <v>1.05086808E-15</v>
      </c>
      <c r="AI67" s="38">
        <f>IFERROR(RadSpec!$K$5*AI5,".")*$B$67</f>
        <v>7.3848674663013697E-16</v>
      </c>
      <c r="AJ67" s="47">
        <f t="shared" si="133"/>
        <v>1.1276438301369863E-15</v>
      </c>
      <c r="AK67" s="47">
        <f t="shared" si="133"/>
        <v>3.4472311811506848E-16</v>
      </c>
      <c r="AL67" s="47">
        <f t="shared" si="133"/>
        <v>7.576806841643836E-16</v>
      </c>
      <c r="AM67" s="47">
        <f t="shared" si="133"/>
        <v>1.05086808E-15</v>
      </c>
      <c r="AN67" s="47">
        <f t="shared" si="133"/>
        <v>7.3848674663013697E-16</v>
      </c>
      <c r="AO67" s="30">
        <f t="shared" si="139"/>
        <v>0</v>
      </c>
      <c r="AP67" s="30">
        <f t="shared" si="139"/>
        <v>710451600253.10608</v>
      </c>
      <c r="AQ67" s="30">
        <f t="shared" si="134"/>
        <v>710451600253.10608</v>
      </c>
      <c r="AR67" s="38">
        <f>IFERROR(RadSpec!$G$5*AR5,".")*$B$67</f>
        <v>0</v>
      </c>
      <c r="AS67" s="38">
        <f>IFERROR(RadSpec!$J$5*AS5,".")*$B$67</f>
        <v>1.4075554191780823E-18</v>
      </c>
      <c r="AT67" s="47">
        <f t="shared" si="135"/>
        <v>0</v>
      </c>
      <c r="AU67" s="47">
        <f t="shared" si="135"/>
        <v>1.4075554191780823E-18</v>
      </c>
      <c r="AV67" s="47">
        <f t="shared" si="136"/>
        <v>1.4075554191780823E-18</v>
      </c>
    </row>
    <row r="68" spans="1:48" x14ac:dyDescent="0.25">
      <c r="A68" s="29" t="s">
        <v>310</v>
      </c>
      <c r="B68" s="34">
        <v>0.99999979999999999</v>
      </c>
      <c r="C68" s="2"/>
      <c r="D68" s="30">
        <f>IFERROR(D9/$B54,0)</f>
        <v>82311.656562916149</v>
      </c>
      <c r="E68" s="30">
        <f>IFERROR(E9/$B54,0)</f>
        <v>2511.7461586713703</v>
      </c>
      <c r="F68" s="30">
        <f>IFERROR(F9/$B54,0)</f>
        <v>6.3674269989090542</v>
      </c>
      <c r="G68" s="30">
        <f t="shared" si="124"/>
        <v>6.3508359642144478</v>
      </c>
      <c r="H68" s="38">
        <f>IFERROR(RadSpec!$I$9*H9,".")*$B$68</f>
        <v>1.2148947570209999E-11</v>
      </c>
      <c r="I68" s="38">
        <f>IFERROR(RadSpec!$G$9*I9,".")*$B$68</f>
        <v>3.9812940354170445E-10</v>
      </c>
      <c r="J68" s="38">
        <f>IFERROR(RadSpec!$F$9*J9,".")*$B$68</f>
        <v>1.5704930738449488E-7</v>
      </c>
      <c r="K68" s="47">
        <f t="shared" si="125"/>
        <v>1.2148947570209999E-11</v>
      </c>
      <c r="L68" s="47">
        <f t="shared" si="125"/>
        <v>3.9812940354170445E-10</v>
      </c>
      <c r="M68" s="47">
        <f t="shared" si="125"/>
        <v>1.5704930738449488E-7</v>
      </c>
      <c r="N68" s="47">
        <f t="shared" si="126"/>
        <v>1.5745958573560678E-7</v>
      </c>
      <c r="O68" s="30">
        <f>IFERROR(O9/$B54,0)</f>
        <v>82311.656562916149</v>
      </c>
      <c r="P68" s="30">
        <f>IFERROR(P9/$B54,0)</f>
        <v>384097.39943805104</v>
      </c>
      <c r="Q68" s="30">
        <f>IFERROR(Q9/$B54,0)</f>
        <v>6.3674269989090542</v>
      </c>
      <c r="R68" s="30">
        <f t="shared" si="127"/>
        <v>6.3668289297315326</v>
      </c>
      <c r="S68" s="38">
        <f>IFERROR(RadSpec!$I$9*S9,".")*$B$68</f>
        <v>1.2148947570209999E-11</v>
      </c>
      <c r="T68" s="38">
        <f>IFERROR(RadSpec!$G$9*T9,".")*$B$68</f>
        <v>2.6035063019511139E-12</v>
      </c>
      <c r="U68" s="38">
        <f>IFERROR(RadSpec!$F$9*U9,".")*$B$68</f>
        <v>1.5704930738449488E-7</v>
      </c>
      <c r="V68" s="47">
        <f t="shared" si="128"/>
        <v>1.2148947570209999E-11</v>
      </c>
      <c r="W68" s="47">
        <f t="shared" si="129"/>
        <v>2.6035063019511139E-12</v>
      </c>
      <c r="X68" s="47">
        <f t="shared" si="130"/>
        <v>1.5704930738449488E-7</v>
      </c>
      <c r="Y68" s="47">
        <f t="shared" si="131"/>
        <v>1.5706405983836704E-7</v>
      </c>
      <c r="Z68" s="30">
        <f t="shared" ref="Z68:AP68" si="140">IFERROR(Z9/$B54,0)</f>
        <v>6.3674269989090542</v>
      </c>
      <c r="AA68" s="30">
        <f t="shared" si="140"/>
        <v>76.80970919212298</v>
      </c>
      <c r="AB68" s="30">
        <f t="shared" si="140"/>
        <v>17.716623545444758</v>
      </c>
      <c r="AC68" s="30">
        <f t="shared" si="140"/>
        <v>8.4658172049737903</v>
      </c>
      <c r="AD68" s="30">
        <f t="shared" si="140"/>
        <v>117.7405498047933</v>
      </c>
      <c r="AE68" s="38">
        <f>IFERROR(RadSpec!$F$9*AE9,".")*$B$68</f>
        <v>1.5704930738449488E-7</v>
      </c>
      <c r="AF68" s="38">
        <f>IFERROR(RadSpec!$M$9*AF9,".")*$B$68</f>
        <v>1.3019187424583458E-8</v>
      </c>
      <c r="AG68" s="38">
        <f>IFERROR(RadSpec!$N$9*AG9,".")*$B$68</f>
        <v>5.6444163721992999E-8</v>
      </c>
      <c r="AH68" s="38">
        <f>IFERROR(RadSpec!$O$9*AH9,".")*$B$68</f>
        <v>1.1812208742382077E-7</v>
      </c>
      <c r="AI68" s="38">
        <f>IFERROR(RadSpec!$K$9*AI9,".")*$B$68</f>
        <v>8.4932506401400319E-9</v>
      </c>
      <c r="AJ68" s="47">
        <f t="shared" si="133"/>
        <v>1.5704930738449488E-7</v>
      </c>
      <c r="AK68" s="47">
        <f t="shared" si="133"/>
        <v>1.3019187424583458E-8</v>
      </c>
      <c r="AL68" s="47">
        <f t="shared" si="133"/>
        <v>5.6444163721992999E-8</v>
      </c>
      <c r="AM68" s="47">
        <f t="shared" si="133"/>
        <v>1.1812208742382077E-7</v>
      </c>
      <c r="AN68" s="47">
        <f t="shared" si="133"/>
        <v>8.4932506401400319E-9</v>
      </c>
      <c r="AO68" s="30">
        <f t="shared" si="140"/>
        <v>3.2362466019418772</v>
      </c>
      <c r="AP68" s="30">
        <f t="shared" si="140"/>
        <v>654.65710289239792</v>
      </c>
      <c r="AQ68" s="30">
        <f t="shared" si="134"/>
        <v>3.2203271644272249</v>
      </c>
      <c r="AR68" s="38">
        <f>IFERROR(RadSpec!$G$9*AR9,".")*$B$68</f>
        <v>3.0899993819999995E-7</v>
      </c>
      <c r="AS68" s="38">
        <f>IFERROR(RadSpec!$J$9*AS9,".")*$B$68</f>
        <v>1.5275172232636175E-9</v>
      </c>
      <c r="AT68" s="47">
        <f t="shared" si="135"/>
        <v>3.0899993819999995E-7</v>
      </c>
      <c r="AU68" s="47">
        <f t="shared" si="135"/>
        <v>1.5275172232636175E-9</v>
      </c>
      <c r="AV68" s="47">
        <f t="shared" si="136"/>
        <v>3.1052745542326358E-7</v>
      </c>
    </row>
    <row r="69" spans="1:48" x14ac:dyDescent="0.25">
      <c r="A69" s="29" t="s">
        <v>311</v>
      </c>
      <c r="B69" s="34">
        <v>1.9999999999999999E-7</v>
      </c>
      <c r="C69" s="2"/>
      <c r="D69" s="30">
        <f>IFERROR(D24/$B55,0)</f>
        <v>0</v>
      </c>
      <c r="E69" s="30">
        <f>IFERROR(E24/$B55,0)</f>
        <v>0</v>
      </c>
      <c r="F69" s="30">
        <f>IFERROR(F24/$B55,0)</f>
        <v>75174878686.880417</v>
      </c>
      <c r="G69" s="30">
        <f t="shared" si="124"/>
        <v>75174878686.880417</v>
      </c>
      <c r="H69" s="38">
        <f>IFERROR(RadSpec!$I$24*H24,".")*$B$69</f>
        <v>0</v>
      </c>
      <c r="I69" s="38">
        <f>IFERROR(RadSpec!$G$24*I24,".")*$B$69</f>
        <v>0</v>
      </c>
      <c r="J69" s="38">
        <f>IFERROR(RadSpec!$F$24*J24,".")*$B$69</f>
        <v>1.3302316112344068E-17</v>
      </c>
      <c r="K69" s="47">
        <f t="shared" si="125"/>
        <v>0</v>
      </c>
      <c r="L69" s="47">
        <f t="shared" si="125"/>
        <v>0</v>
      </c>
      <c r="M69" s="47">
        <f t="shared" si="125"/>
        <v>1.3302316112344068E-17</v>
      </c>
      <c r="N69" s="47">
        <f t="shared" si="126"/>
        <v>1.3302316112344068E-17</v>
      </c>
      <c r="O69" s="30">
        <f>IFERROR(O24/$B55,0)</f>
        <v>0</v>
      </c>
      <c r="P69" s="30">
        <f>IFERROR(P24/$B55,0)</f>
        <v>0</v>
      </c>
      <c r="Q69" s="30">
        <f>IFERROR(Q24/$B55,0)</f>
        <v>75174878686.880417</v>
      </c>
      <c r="R69" s="30">
        <f t="shared" si="127"/>
        <v>75174878686.880417</v>
      </c>
      <c r="S69" s="38">
        <f>IFERROR(RadSpec!$I$24*S24,".")*$B$69</f>
        <v>0</v>
      </c>
      <c r="T69" s="38">
        <f>IFERROR(RadSpec!$G$24*T24,".")*$B$69</f>
        <v>0</v>
      </c>
      <c r="U69" s="38">
        <f>IFERROR(RadSpec!$F$24*U24,".")*$B$69</f>
        <v>1.3302316112344068E-17</v>
      </c>
      <c r="V69" s="47">
        <f t="shared" si="128"/>
        <v>0</v>
      </c>
      <c r="W69" s="47">
        <f t="shared" si="129"/>
        <v>0</v>
      </c>
      <c r="X69" s="47">
        <f t="shared" si="130"/>
        <v>1.3302316112344068E-17</v>
      </c>
      <c r="Y69" s="47">
        <f t="shared" si="131"/>
        <v>1.3302316112344068E-17</v>
      </c>
      <c r="Z69" s="30">
        <f t="shared" ref="Z69:AP69" si="141">IFERROR(Z24/$B55,0)</f>
        <v>75174878686.880417</v>
      </c>
      <c r="AA69" s="30">
        <f t="shared" si="141"/>
        <v>674242113924.53638</v>
      </c>
      <c r="AB69" s="30">
        <f t="shared" si="141"/>
        <v>164362413868.07968</v>
      </c>
      <c r="AC69" s="30">
        <f t="shared" si="141"/>
        <v>82443614271.129669</v>
      </c>
      <c r="AD69" s="30">
        <f t="shared" si="141"/>
        <v>1023438952067.791</v>
      </c>
      <c r="AE69" s="38">
        <f>IFERROR(RadSpec!$F$24*AE24,".")*$B$69</f>
        <v>1.3302316112344068E-17</v>
      </c>
      <c r="AF69" s="38">
        <f>IFERROR(RadSpec!$M$24*AF24,".")*$B$69</f>
        <v>1.483146750029209E-18</v>
      </c>
      <c r="AG69" s="38">
        <f>IFERROR(RadSpec!$N$24*AG24,".")*$B$69</f>
        <v>6.0841160485913679E-18</v>
      </c>
      <c r="AH69" s="38">
        <f>IFERROR(RadSpec!$O$24*AH24,".")*$B$69</f>
        <v>1.2129502191780823E-17</v>
      </c>
      <c r="AI69" s="38">
        <f>IFERROR(RadSpec!$K$24*AI24,".")*$B$69</f>
        <v>9.770978503207892E-19</v>
      </c>
      <c r="AJ69" s="47">
        <f t="shared" si="133"/>
        <v>1.3302316112344068E-17</v>
      </c>
      <c r="AK69" s="47">
        <f t="shared" si="133"/>
        <v>1.483146750029209E-18</v>
      </c>
      <c r="AL69" s="47">
        <f t="shared" si="133"/>
        <v>6.0841160485913679E-18</v>
      </c>
      <c r="AM69" s="47">
        <f t="shared" si="133"/>
        <v>1.2129502191780823E-17</v>
      </c>
      <c r="AN69" s="47">
        <f t="shared" si="133"/>
        <v>9.770978503207892E-19</v>
      </c>
      <c r="AO69" s="30">
        <f t="shared" si="141"/>
        <v>0</v>
      </c>
      <c r="AP69" s="30">
        <f t="shared" si="141"/>
        <v>6870301189260.8057</v>
      </c>
      <c r="AQ69" s="30">
        <f t="shared" si="134"/>
        <v>6870301189260.8057</v>
      </c>
      <c r="AR69" s="38">
        <f>IFERROR(RadSpec!$G$24*AR24,".")*$B$69</f>
        <v>0</v>
      </c>
      <c r="AS69" s="38">
        <f>IFERROR(RadSpec!$J$24*AS24,".")*$B$69</f>
        <v>1.4555402630136986E-19</v>
      </c>
      <c r="AT69" s="47">
        <f t="shared" si="135"/>
        <v>0</v>
      </c>
      <c r="AU69" s="47">
        <f t="shared" si="135"/>
        <v>1.4555402630136986E-19</v>
      </c>
      <c r="AV69" s="47">
        <f t="shared" si="136"/>
        <v>1.4555402630136986E-19</v>
      </c>
    </row>
    <row r="70" spans="1:48" x14ac:dyDescent="0.25">
      <c r="A70" s="29" t="s">
        <v>312</v>
      </c>
      <c r="B70" s="34">
        <v>0.99979000004200003</v>
      </c>
      <c r="C70" s="2"/>
      <c r="D70" s="30">
        <f>IFERROR(D20/$B56,0)</f>
        <v>0</v>
      </c>
      <c r="E70" s="30">
        <f>IFERROR(E20/$B56,0)</f>
        <v>0</v>
      </c>
      <c r="F70" s="30">
        <f>IFERROR(F20/$B56,0)</f>
        <v>121192.58050196047</v>
      </c>
      <c r="G70" s="30">
        <f t="shared" si="124"/>
        <v>121192.58050196049</v>
      </c>
      <c r="H70" s="38">
        <f>IFERROR(RadSpec!$I$20*H20,".")*$B$70</f>
        <v>0</v>
      </c>
      <c r="I70" s="38">
        <f>IFERROR(RadSpec!$G$20*I20,".")*$B$70</f>
        <v>0</v>
      </c>
      <c r="J70" s="38">
        <f>IFERROR(RadSpec!$F$20*J20,".")*$B$70</f>
        <v>8.2513302040286485E-12</v>
      </c>
      <c r="K70" s="47">
        <f t="shared" si="125"/>
        <v>0</v>
      </c>
      <c r="L70" s="47">
        <f t="shared" si="125"/>
        <v>0</v>
      </c>
      <c r="M70" s="47">
        <f t="shared" si="125"/>
        <v>8.2513302040286485E-12</v>
      </c>
      <c r="N70" s="47">
        <f t="shared" si="126"/>
        <v>8.2513302040286485E-12</v>
      </c>
      <c r="O70" s="30">
        <f>IFERROR(O20/$B56,0)</f>
        <v>0</v>
      </c>
      <c r="P70" s="30">
        <f>IFERROR(P20/$B56,0)</f>
        <v>0</v>
      </c>
      <c r="Q70" s="30">
        <f>IFERROR(Q20/$B56,0)</f>
        <v>121192.58050196047</v>
      </c>
      <c r="R70" s="30">
        <f t="shared" si="127"/>
        <v>121192.58050196049</v>
      </c>
      <c r="S70" s="38">
        <f>IFERROR(RadSpec!$I$20*S20,".")*$B$70</f>
        <v>0</v>
      </c>
      <c r="T70" s="38">
        <f>IFERROR(RadSpec!$G$20*T20,".")*$B$70</f>
        <v>0</v>
      </c>
      <c r="U70" s="38">
        <f>IFERROR(RadSpec!$F$20*U20,".")*$B$70</f>
        <v>8.2513302040286485E-12</v>
      </c>
      <c r="V70" s="47">
        <f t="shared" si="128"/>
        <v>0</v>
      </c>
      <c r="W70" s="47">
        <f t="shared" si="129"/>
        <v>0</v>
      </c>
      <c r="X70" s="47">
        <f t="shared" si="130"/>
        <v>8.2513302040286485E-12</v>
      </c>
      <c r="Y70" s="47">
        <f t="shared" si="131"/>
        <v>8.2513302040286485E-12</v>
      </c>
      <c r="Z70" s="30">
        <f t="shared" ref="Z70:AP70" si="142">IFERROR(Z20/$B56,0)</f>
        <v>121192.58050196047</v>
      </c>
      <c r="AA70" s="30">
        <f t="shared" si="142"/>
        <v>1271956.8056890443</v>
      </c>
      <c r="AB70" s="30">
        <f t="shared" si="142"/>
        <v>300865.70838385436</v>
      </c>
      <c r="AC70" s="30">
        <f t="shared" si="142"/>
        <v>148372.60952546223</v>
      </c>
      <c r="AD70" s="30">
        <f t="shared" si="142"/>
        <v>1972953.9375905271</v>
      </c>
      <c r="AE70" s="38">
        <f>IFERROR(RadSpec!$F$20*AE20,".")*$B$70</f>
        <v>8.2513302040286485E-12</v>
      </c>
      <c r="AF70" s="38">
        <f>IFERROR(RadSpec!$M$20*AF20,".")*$B$70</f>
        <v>7.8619021929622843E-13</v>
      </c>
      <c r="AG70" s="38">
        <f>IFERROR(RadSpec!$N$20*AG20,".")*$B$70</f>
        <v>3.3237420288661389E-12</v>
      </c>
      <c r="AH70" s="38">
        <f>IFERROR(RadSpec!$O$20*AH20,".")*$B$70</f>
        <v>6.7397884501612815E-12</v>
      </c>
      <c r="AI70" s="38">
        <f>IFERROR(RadSpec!$K$20*AI20,".")*$B$70</f>
        <v>5.0685420523362617E-13</v>
      </c>
      <c r="AJ70" s="47">
        <f t="shared" si="133"/>
        <v>8.2513302040286485E-12</v>
      </c>
      <c r="AK70" s="47">
        <f t="shared" si="133"/>
        <v>7.8619021929622843E-13</v>
      </c>
      <c r="AL70" s="47">
        <f t="shared" si="133"/>
        <v>3.3237420288661389E-12</v>
      </c>
      <c r="AM70" s="47">
        <f t="shared" si="133"/>
        <v>6.7397884501612815E-12</v>
      </c>
      <c r="AN70" s="47">
        <f t="shared" si="133"/>
        <v>5.0685420523362617E-13</v>
      </c>
      <c r="AO70" s="30">
        <f t="shared" si="142"/>
        <v>0</v>
      </c>
      <c r="AP70" s="30">
        <f t="shared" si="142"/>
        <v>12261347.592729168</v>
      </c>
      <c r="AQ70" s="30">
        <f t="shared" si="134"/>
        <v>12261347.592729168</v>
      </c>
      <c r="AR70" s="38">
        <f>IFERROR(RadSpec!$G$20*AR20,".")*$B$70</f>
        <v>0</v>
      </c>
      <c r="AS70" s="38">
        <f>IFERROR(RadSpec!$J$20*AS20,".")*$B$70</f>
        <v>8.1557103934724751E-14</v>
      </c>
      <c r="AT70" s="47">
        <f t="shared" si="135"/>
        <v>0</v>
      </c>
      <c r="AU70" s="47">
        <f t="shared" si="135"/>
        <v>8.1557103934724751E-14</v>
      </c>
      <c r="AV70" s="47">
        <f t="shared" si="136"/>
        <v>8.1557103934724751E-14</v>
      </c>
    </row>
    <row r="71" spans="1:48" x14ac:dyDescent="0.25">
      <c r="A71" s="29" t="s">
        <v>313</v>
      </c>
      <c r="B71" s="34">
        <v>2.0999995799999999E-4</v>
      </c>
      <c r="C71" s="2"/>
      <c r="D71" s="30">
        <f>IFERROR(D29/$B57,0)</f>
        <v>0</v>
      </c>
      <c r="E71" s="30">
        <f>IFERROR(E29/$B57,0)</f>
        <v>0</v>
      </c>
      <c r="F71" s="30">
        <f>IFERROR(F29/$B57,0)</f>
        <v>16827.262800018885</v>
      </c>
      <c r="G71" s="30">
        <f t="shared" si="124"/>
        <v>16827.262800018885</v>
      </c>
      <c r="H71" s="38">
        <f>IFERROR(RadSpec!$I$29*H29,".")*$B$71</f>
        <v>0</v>
      </c>
      <c r="I71" s="38">
        <f>IFERROR(RadSpec!$G$29*I29,".")*$B$71</f>
        <v>0</v>
      </c>
      <c r="J71" s="38">
        <f>IFERROR(RadSpec!$F$29*J29,".")*$B$71</f>
        <v>5.9427371634017483E-11</v>
      </c>
      <c r="K71" s="47">
        <f t="shared" si="125"/>
        <v>0</v>
      </c>
      <c r="L71" s="47">
        <f t="shared" si="125"/>
        <v>0</v>
      </c>
      <c r="M71" s="47">
        <f t="shared" si="125"/>
        <v>5.9427371634017483E-11</v>
      </c>
      <c r="N71" s="47">
        <f t="shared" si="126"/>
        <v>5.9427371634017483E-11</v>
      </c>
      <c r="O71" s="30">
        <f>IFERROR(O29/$B57,0)</f>
        <v>0</v>
      </c>
      <c r="P71" s="30">
        <f>IFERROR(P29/$B57,0)</f>
        <v>0</v>
      </c>
      <c r="Q71" s="30">
        <f>IFERROR(Q29/$B57,0)</f>
        <v>16827.262800018885</v>
      </c>
      <c r="R71" s="30">
        <f t="shared" si="127"/>
        <v>16827.262800018885</v>
      </c>
      <c r="S71" s="38">
        <f>IFERROR(RadSpec!$I$29*S29,".")*$B$71</f>
        <v>0</v>
      </c>
      <c r="T71" s="38">
        <f>IFERROR(RadSpec!$G$29*T29,".")*$B$71</f>
        <v>0</v>
      </c>
      <c r="U71" s="38">
        <f>IFERROR(RadSpec!$F$29*U29,".")*$B$71</f>
        <v>5.9427371634017483E-11</v>
      </c>
      <c r="V71" s="47">
        <f t="shared" si="128"/>
        <v>0</v>
      </c>
      <c r="W71" s="47">
        <f t="shared" si="129"/>
        <v>0</v>
      </c>
      <c r="X71" s="47">
        <f t="shared" si="130"/>
        <v>5.9427371634017483E-11</v>
      </c>
      <c r="Y71" s="47">
        <f t="shared" si="131"/>
        <v>5.9427371634017483E-11</v>
      </c>
      <c r="Z71" s="30">
        <f t="shared" ref="Z71:AP71" si="143">IFERROR(Z29/$B57,0)</f>
        <v>16827.262800018885</v>
      </c>
      <c r="AA71" s="30">
        <f t="shared" si="143"/>
        <v>190092.11507554376</v>
      </c>
      <c r="AB71" s="30">
        <f t="shared" si="143"/>
        <v>44661.759630914792</v>
      </c>
      <c r="AC71" s="30">
        <f t="shared" si="143"/>
        <v>21767.447695243925</v>
      </c>
      <c r="AD71" s="30">
        <f t="shared" si="143"/>
        <v>283051.3506393765</v>
      </c>
      <c r="AE71" s="38">
        <f>IFERROR(RadSpec!$F$29*AE29,".")*$B$71</f>
        <v>5.9427371634017483E-11</v>
      </c>
      <c r="AF71" s="38">
        <f>IFERROR(RadSpec!$M$29*AF29,".")*$B$71</f>
        <v>5.260607467082967E-12</v>
      </c>
      <c r="AG71" s="38">
        <f>IFERROR(RadSpec!$N$29*AG29,".")*$B$71</f>
        <v>2.2390519501784286E-11</v>
      </c>
      <c r="AH71" s="38">
        <f>IFERROR(RadSpec!$O$29*AH29,".")*$B$71</f>
        <v>4.5940158625877621E-11</v>
      </c>
      <c r="AI71" s="38">
        <f>IFERROR(RadSpec!$K$29*AI29,".")*$B$71</f>
        <v>3.532927851222503E-12</v>
      </c>
      <c r="AJ71" s="47">
        <f t="shared" si="133"/>
        <v>5.9427371634017483E-11</v>
      </c>
      <c r="AK71" s="47">
        <f t="shared" si="133"/>
        <v>5.260607467082967E-12</v>
      </c>
      <c r="AL71" s="47">
        <f t="shared" si="133"/>
        <v>2.2390519501784286E-11</v>
      </c>
      <c r="AM71" s="47">
        <f t="shared" si="133"/>
        <v>4.5940158625877621E-11</v>
      </c>
      <c r="AN71" s="47">
        <f t="shared" si="133"/>
        <v>3.532927851222503E-12</v>
      </c>
      <c r="AO71" s="30">
        <f t="shared" si="143"/>
        <v>0</v>
      </c>
      <c r="AP71" s="30">
        <f t="shared" si="143"/>
        <v>1685168.5532674931</v>
      </c>
      <c r="AQ71" s="30">
        <f t="shared" si="134"/>
        <v>1685168.5532674931</v>
      </c>
      <c r="AR71" s="38">
        <f>IFERROR(RadSpec!$G$29*AR29,".")*$B$71</f>
        <v>0</v>
      </c>
      <c r="AS71" s="38">
        <f>IFERROR(RadSpec!$J$29*AS29,".")*$B$71</f>
        <v>5.934124500846094E-13</v>
      </c>
      <c r="AT71" s="47">
        <f t="shared" si="135"/>
        <v>0</v>
      </c>
      <c r="AU71" s="47">
        <f t="shared" si="135"/>
        <v>5.934124500846094E-13</v>
      </c>
      <c r="AV71" s="47">
        <f t="shared" si="136"/>
        <v>5.934124500846094E-13</v>
      </c>
    </row>
    <row r="72" spans="1:48" x14ac:dyDescent="0.25">
      <c r="A72" s="29" t="s">
        <v>314</v>
      </c>
      <c r="B72" s="34">
        <v>1</v>
      </c>
      <c r="C72" s="2"/>
      <c r="D72" s="30">
        <f>IFERROR(D16/$B58,0)</f>
        <v>20.222242444464666</v>
      </c>
      <c r="E72" s="30">
        <f>IFERROR(E16/$B58,0)</f>
        <v>9.7792403175649323</v>
      </c>
      <c r="F72" s="30">
        <f>IFERROR(F16/$B58,0)</f>
        <v>22453.378967774097</v>
      </c>
      <c r="G72" s="30">
        <f t="shared" si="124"/>
        <v>6.5896786364943001</v>
      </c>
      <c r="H72" s="38">
        <f>IFERROR(RadSpec!$I$16*H16,".")*$B$72</f>
        <v>4.9450500000000003E-8</v>
      </c>
      <c r="I72" s="38">
        <f>IFERROR(RadSpec!$G$16*I16,".")*$B$72</f>
        <v>1.0225743181746492E-7</v>
      </c>
      <c r="J72" s="38">
        <f>IFERROR(RadSpec!$F$16*J16,".")*$B$72</f>
        <v>4.4536726585127182E-11</v>
      </c>
      <c r="K72" s="47">
        <f t="shared" si="125"/>
        <v>4.9450500000000003E-8</v>
      </c>
      <c r="L72" s="47">
        <f t="shared" si="125"/>
        <v>1.0225743181746492E-7</v>
      </c>
      <c r="M72" s="47">
        <f t="shared" si="125"/>
        <v>4.4536726585127182E-11</v>
      </c>
      <c r="N72" s="47">
        <f t="shared" si="126"/>
        <v>1.5175246854405005E-7</v>
      </c>
      <c r="O72" s="30">
        <f>IFERROR(O16/$B58,0)</f>
        <v>20.222242444464666</v>
      </c>
      <c r="P72" s="30">
        <f>IFERROR(P16/$B58,0)</f>
        <v>1495.4460113291564</v>
      </c>
      <c r="Q72" s="30">
        <f>IFERROR(Q16/$B58,0)</f>
        <v>22453.378967774097</v>
      </c>
      <c r="R72" s="30">
        <f t="shared" si="127"/>
        <v>19.934720348678365</v>
      </c>
      <c r="S72" s="38">
        <f>IFERROR(RadSpec!$I$16*S16,".")*$B$72</f>
        <v>4.9450500000000003E-8</v>
      </c>
      <c r="T72" s="38">
        <f>IFERROR(RadSpec!$G$16*T16,".")*$B$72</f>
        <v>6.6869682517739136E-10</v>
      </c>
      <c r="U72" s="38">
        <f>IFERROR(RadSpec!$F$16*U16,".")*$B$72</f>
        <v>4.4536726585127182E-11</v>
      </c>
      <c r="V72" s="47">
        <f t="shared" si="128"/>
        <v>4.9450500000000003E-8</v>
      </c>
      <c r="W72" s="47">
        <f t="shared" si="129"/>
        <v>6.6869682517739136E-10</v>
      </c>
      <c r="X72" s="47">
        <f t="shared" si="130"/>
        <v>4.4536726585127182E-11</v>
      </c>
      <c r="Y72" s="47">
        <f t="shared" si="131"/>
        <v>5.0163733551762525E-8</v>
      </c>
      <c r="Z72" s="30">
        <f t="shared" ref="Z72:AP72" si="144">IFERROR(Z16/$B58,0)</f>
        <v>22453.378967774097</v>
      </c>
      <c r="AA72" s="30">
        <f t="shared" si="144"/>
        <v>30546.11950004657</v>
      </c>
      <c r="AB72" s="30">
        <f t="shared" si="144"/>
        <v>21667.575968753372</v>
      </c>
      <c r="AC72" s="30">
        <f t="shared" si="144"/>
        <v>20318.367045906627</v>
      </c>
      <c r="AD72" s="30">
        <f t="shared" si="144"/>
        <v>20175.686643105069</v>
      </c>
      <c r="AE72" s="38">
        <f>IFERROR(RadSpec!$F$16*AE16,".")*$B$72</f>
        <v>4.4536726585127182E-11</v>
      </c>
      <c r="AF72" s="38">
        <f>IFERROR(RadSpec!$M$16*AF16,".")*$B$72</f>
        <v>3.2737382566662033E-11</v>
      </c>
      <c r="AG72" s="38">
        <f>IFERROR(RadSpec!$N$16*AG16,".")*$B$72</f>
        <v>4.6151909260274028E-11</v>
      </c>
      <c r="AH72" s="38">
        <f>IFERROR(RadSpec!$O$16*AH16,".")*$B$72</f>
        <v>4.9216553561643706E-11</v>
      </c>
      <c r="AI72" s="38">
        <f>IFERROR(RadSpec!$K$16*AI16,".")*$B$72</f>
        <v>4.9564608020007314E-11</v>
      </c>
      <c r="AJ72" s="47">
        <f t="shared" si="133"/>
        <v>4.4536726585127182E-11</v>
      </c>
      <c r="AK72" s="47">
        <f t="shared" si="133"/>
        <v>3.2737382566662033E-11</v>
      </c>
      <c r="AL72" s="47">
        <f t="shared" si="133"/>
        <v>4.6151909260274028E-11</v>
      </c>
      <c r="AM72" s="47">
        <f t="shared" si="133"/>
        <v>4.9216553561643706E-11</v>
      </c>
      <c r="AN72" s="47">
        <f t="shared" si="133"/>
        <v>4.9564608020007314E-11</v>
      </c>
      <c r="AO72" s="30">
        <f t="shared" si="144"/>
        <v>1.2600012600012603E-2</v>
      </c>
      <c r="AP72" s="30">
        <f t="shared" si="144"/>
        <v>1113111.11256273</v>
      </c>
      <c r="AQ72" s="30">
        <f t="shared" si="134"/>
        <v>1.2600012457385049E-2</v>
      </c>
      <c r="AR72" s="38">
        <f>IFERROR(RadSpec!$G$16*AR16,".")*$B$72</f>
        <v>7.9364999999999997E-5</v>
      </c>
      <c r="AS72" s="38">
        <f>IFERROR(RadSpec!$J$16*AS16,".")*$B$72</f>
        <v>8.9838290958904098E-13</v>
      </c>
      <c r="AT72" s="47">
        <f t="shared" si="135"/>
        <v>7.9364999999999997E-5</v>
      </c>
      <c r="AU72" s="47">
        <f t="shared" si="135"/>
        <v>8.9838290958904098E-13</v>
      </c>
      <c r="AV72" s="47">
        <f t="shared" si="136"/>
        <v>7.93650008983829E-5</v>
      </c>
    </row>
    <row r="73" spans="1:48" x14ac:dyDescent="0.25">
      <c r="A73" s="29" t="s">
        <v>315</v>
      </c>
      <c r="B73" s="34">
        <v>1</v>
      </c>
      <c r="C73" s="2"/>
      <c r="D73" s="30">
        <f>IFERROR(D7/$B59,0)</f>
        <v>3243.5676000032436</v>
      </c>
      <c r="E73" s="30">
        <f>IFERROR(E7/$B59,0)</f>
        <v>341.08082083214276</v>
      </c>
      <c r="F73" s="30">
        <f>IFERROR(F7/$B59,0)</f>
        <v>21193.132482126541</v>
      </c>
      <c r="G73" s="30">
        <f t="shared" si="124"/>
        <v>304.19694133378039</v>
      </c>
      <c r="H73" s="38">
        <f>IFERROR(RadSpec!$I$7*H7,".")*$B$73</f>
        <v>3.0830249999999998E-10</v>
      </c>
      <c r="I73" s="38">
        <f>IFERROR(RadSpec!$G$7*I7,".")*$B$73</f>
        <v>2.9318564367245187E-9</v>
      </c>
      <c r="J73" s="38">
        <f>IFERROR(RadSpec!$F$7*J7,".")*$B$73</f>
        <v>4.7185096438356185E-11</v>
      </c>
      <c r="K73" s="47">
        <f t="shared" si="125"/>
        <v>3.0830249999999998E-10</v>
      </c>
      <c r="L73" s="47">
        <f t="shared" si="125"/>
        <v>2.9318564367245187E-9</v>
      </c>
      <c r="M73" s="47">
        <f t="shared" si="125"/>
        <v>4.7185096438356185E-11</v>
      </c>
      <c r="N73" s="47">
        <f t="shared" si="126"/>
        <v>3.2873440331628747E-9</v>
      </c>
      <c r="O73" s="30">
        <f>IFERROR(O7/$B59,0)</f>
        <v>3243.5676000032436</v>
      </c>
      <c r="P73" s="30">
        <f>IFERROR(P7/$B59,0)</f>
        <v>52158.238931724234</v>
      </c>
      <c r="Q73" s="30">
        <f>IFERROR(Q7/$B59,0)</f>
        <v>21193.132482126541</v>
      </c>
      <c r="R73" s="30">
        <f t="shared" si="127"/>
        <v>2669.0864754514046</v>
      </c>
      <c r="S73" s="38">
        <f>IFERROR(RadSpec!$I$7*S7,".")*$B$73</f>
        <v>3.0830249999999998E-10</v>
      </c>
      <c r="T73" s="38">
        <f>IFERROR(RadSpec!$G$7*T7,".")*$B$73</f>
        <v>1.9172426456134998E-11</v>
      </c>
      <c r="U73" s="38">
        <f>IFERROR(RadSpec!$F$7*U7,".")*$B$73</f>
        <v>4.7185096438356185E-11</v>
      </c>
      <c r="V73" s="47">
        <f t="shared" si="128"/>
        <v>3.0830249999999998E-10</v>
      </c>
      <c r="W73" s="47">
        <f t="shared" si="129"/>
        <v>1.9172426456134998E-11</v>
      </c>
      <c r="X73" s="47">
        <f t="shared" si="130"/>
        <v>4.7185096438356185E-11</v>
      </c>
      <c r="Y73" s="47">
        <f t="shared" si="131"/>
        <v>3.7466002289449114E-10</v>
      </c>
      <c r="Z73" s="30">
        <f t="shared" ref="Z73:AP73" si="145">IFERROR(Z7/$B59,0)</f>
        <v>21193.132482126541</v>
      </c>
      <c r="AA73" s="30">
        <f t="shared" si="145"/>
        <v>91760.872048346384</v>
      </c>
      <c r="AB73" s="30">
        <f t="shared" si="145"/>
        <v>29612.628647717978</v>
      </c>
      <c r="AC73" s="30">
        <f t="shared" si="145"/>
        <v>19664.089806193639</v>
      </c>
      <c r="AD73" s="30">
        <f t="shared" si="145"/>
        <v>23777.190491776219</v>
      </c>
      <c r="AE73" s="38">
        <f>IFERROR(RadSpec!$F$7*AE7,".")*$B$73</f>
        <v>4.7185096438356185E-11</v>
      </c>
      <c r="AF73" s="38">
        <f>IFERROR(RadSpec!$M$7*AF7,".")*$B$73</f>
        <v>1.08978912E-11</v>
      </c>
      <c r="AG73" s="38">
        <f>IFERROR(RadSpec!$N$7*AG7,".")*$B$73</f>
        <v>3.3769376298752278E-11</v>
      </c>
      <c r="AH73" s="38">
        <f>IFERROR(RadSpec!$O$7*AH7,".")*$B$73</f>
        <v>5.0854120880033199E-11</v>
      </c>
      <c r="AI73" s="38">
        <f>IFERROR(RadSpec!$K$7*AI7,".")*$B$73</f>
        <v>4.2057113532646698E-11</v>
      </c>
      <c r="AJ73" s="47">
        <f t="shared" si="133"/>
        <v>4.7185096438356185E-11</v>
      </c>
      <c r="AK73" s="47">
        <f t="shared" si="133"/>
        <v>1.08978912E-11</v>
      </c>
      <c r="AL73" s="47">
        <f t="shared" si="133"/>
        <v>3.3769376298752278E-11</v>
      </c>
      <c r="AM73" s="47">
        <f t="shared" si="133"/>
        <v>5.0854120880033199E-11</v>
      </c>
      <c r="AN73" s="47">
        <f t="shared" si="133"/>
        <v>4.2057113532646698E-11</v>
      </c>
      <c r="AO73" s="30">
        <f t="shared" si="145"/>
        <v>0.43946385409800048</v>
      </c>
      <c r="AP73" s="30">
        <f t="shared" si="145"/>
        <v>828076.03738110373</v>
      </c>
      <c r="AQ73" s="30">
        <f t="shared" si="134"/>
        <v>0.43946362087258656</v>
      </c>
      <c r="AR73" s="38">
        <f>IFERROR(RadSpec!$G$7*AR7,".")*$B$73</f>
        <v>2.2755000000000001E-6</v>
      </c>
      <c r="AS73" s="38">
        <f>IFERROR(RadSpec!$J$7*AS7,".")*$B$73</f>
        <v>1.2076185698630138E-12</v>
      </c>
      <c r="AT73" s="47">
        <f t="shared" si="135"/>
        <v>2.2755000000000001E-6</v>
      </c>
      <c r="AU73" s="47">
        <f t="shared" si="135"/>
        <v>1.2076185698630138E-12</v>
      </c>
      <c r="AV73" s="47">
        <f t="shared" si="136"/>
        <v>2.2755012076185698E-6</v>
      </c>
    </row>
    <row r="74" spans="1:48" x14ac:dyDescent="0.25">
      <c r="A74" s="29" t="s">
        <v>316</v>
      </c>
      <c r="B74" s="36">
        <v>1.9000000000000001E-8</v>
      </c>
      <c r="C74" s="2"/>
      <c r="D74" s="30">
        <f>IFERROR(D12/$B60,0)</f>
        <v>0</v>
      </c>
      <c r="E74" s="30">
        <f>IFERROR(E12/$B60,0)</f>
        <v>0</v>
      </c>
      <c r="F74" s="30">
        <f>IFERROR(F12/$B60,0)</f>
        <v>6042592642.7285414</v>
      </c>
      <c r="G74" s="30">
        <f t="shared" si="124"/>
        <v>6042592642.7285414</v>
      </c>
      <c r="H74" s="38">
        <f>IFERROR(RadSpec!$I$12*H12,".")*$B$74</f>
        <v>0</v>
      </c>
      <c r="I74" s="38">
        <f>IFERROR(RadSpec!$G$12*I12,".")*$B$74</f>
        <v>0</v>
      </c>
      <c r="J74" s="38">
        <f>IFERROR(RadSpec!$F$12*J12,".")*$B$74</f>
        <v>1.6549187726618763E-16</v>
      </c>
      <c r="K74" s="47">
        <f t="shared" si="125"/>
        <v>0</v>
      </c>
      <c r="L74" s="47">
        <f t="shared" si="125"/>
        <v>0</v>
      </c>
      <c r="M74" s="47">
        <f t="shared" si="125"/>
        <v>1.6549187726618763E-16</v>
      </c>
      <c r="N74" s="47">
        <f t="shared" si="126"/>
        <v>1.6549187726618763E-16</v>
      </c>
      <c r="O74" s="30">
        <f>IFERROR(O12/$B60,0)</f>
        <v>0</v>
      </c>
      <c r="P74" s="30">
        <f>IFERROR(P12/$B60,0)</f>
        <v>0</v>
      </c>
      <c r="Q74" s="30">
        <f>IFERROR(Q12/$B60,0)</f>
        <v>6042592642.7285414</v>
      </c>
      <c r="R74" s="30">
        <f t="shared" si="127"/>
        <v>6042592642.7285414</v>
      </c>
      <c r="S74" s="38">
        <f>IFERROR(RadSpec!$I$12*S12,".")*$B$74</f>
        <v>0</v>
      </c>
      <c r="T74" s="38">
        <f>IFERROR(RadSpec!$G$12*T12,".")*$B$74</f>
        <v>0</v>
      </c>
      <c r="U74" s="38">
        <f>IFERROR(RadSpec!$F$12*U12,".")*$B$74</f>
        <v>1.6549187726618763E-16</v>
      </c>
      <c r="V74" s="47">
        <f t="shared" si="128"/>
        <v>0</v>
      </c>
      <c r="W74" s="47">
        <f t="shared" si="129"/>
        <v>0</v>
      </c>
      <c r="X74" s="47">
        <f t="shared" si="130"/>
        <v>1.6549187726618763E-16</v>
      </c>
      <c r="Y74" s="47">
        <f t="shared" si="131"/>
        <v>1.6549187726618763E-16</v>
      </c>
      <c r="Z74" s="30">
        <f t="shared" ref="Z74:AP74" si="146">IFERROR(Z12/$B60,0)</f>
        <v>6042592642.7285414</v>
      </c>
      <c r="AA74" s="30">
        <f t="shared" si="146"/>
        <v>42136064402.639709</v>
      </c>
      <c r="AB74" s="30">
        <f t="shared" si="146"/>
        <v>10492706233.598509</v>
      </c>
      <c r="AC74" s="30">
        <f t="shared" si="146"/>
        <v>6069109183.7770042</v>
      </c>
      <c r="AD74" s="30">
        <f t="shared" si="146"/>
        <v>54501106679.768967</v>
      </c>
      <c r="AE74" s="38">
        <f>IFERROR(RadSpec!$F$12*AE12,".")*$B$74</f>
        <v>1.6549187726618763E-16</v>
      </c>
      <c r="AF74" s="38">
        <f>IFERROR(RadSpec!$M$12*AF12,".")*$B$74</f>
        <v>2.3732638873063637E-17</v>
      </c>
      <c r="AG74" s="38">
        <f>IFERROR(RadSpec!$N$12*AG12,".")*$B$74</f>
        <v>9.5304297836712279E-17</v>
      </c>
      <c r="AH74" s="38">
        <f>IFERROR(RadSpec!$O$12*AH12,".")*$B$74</f>
        <v>1.6476882681119723E-16</v>
      </c>
      <c r="AI74" s="38">
        <f>IFERROR(RadSpec!$K$12*AI12,".")*$B$74</f>
        <v>1.8348251272688452E-17</v>
      </c>
      <c r="AJ74" s="47">
        <f t="shared" si="133"/>
        <v>1.6549187726618763E-16</v>
      </c>
      <c r="AK74" s="47">
        <f t="shared" si="133"/>
        <v>2.3732638873063637E-17</v>
      </c>
      <c r="AL74" s="47">
        <f t="shared" si="133"/>
        <v>9.5304297836712279E-17</v>
      </c>
      <c r="AM74" s="47">
        <f t="shared" si="133"/>
        <v>1.6476882681119723E-16</v>
      </c>
      <c r="AN74" s="47">
        <f t="shared" si="133"/>
        <v>1.8348251272688452E-17</v>
      </c>
      <c r="AO74" s="30">
        <f t="shared" si="146"/>
        <v>0</v>
      </c>
      <c r="AP74" s="30">
        <f t="shared" si="146"/>
        <v>464542965862.09283</v>
      </c>
      <c r="AQ74" s="30">
        <f t="shared" si="134"/>
        <v>464542965862.09283</v>
      </c>
      <c r="AR74" s="38">
        <f>IFERROR(RadSpec!$G$12*AR12,".")*$B$74</f>
        <v>0</v>
      </c>
      <c r="AS74" s="38">
        <f>IFERROR(RadSpec!$J$12*AS12,".")*$B$74</f>
        <v>2.1526534109589039E-18</v>
      </c>
      <c r="AT74" s="47">
        <f t="shared" si="135"/>
        <v>0</v>
      </c>
      <c r="AU74" s="47">
        <f t="shared" si="135"/>
        <v>2.1526534109589039E-18</v>
      </c>
      <c r="AV74" s="47">
        <f t="shared" si="136"/>
        <v>2.1526534109589039E-18</v>
      </c>
    </row>
    <row r="75" spans="1:48" x14ac:dyDescent="0.25">
      <c r="A75" s="29" t="s">
        <v>317</v>
      </c>
      <c r="B75" s="34">
        <v>1</v>
      </c>
      <c r="C75" s="2"/>
      <c r="D75" s="30">
        <f>IFERROR(D18/$B61,0)</f>
        <v>8.4433074123795766</v>
      </c>
      <c r="E75" s="30">
        <f>IFERROR(E18/$B61,0)</f>
        <v>10.702280857743254</v>
      </c>
      <c r="F75" s="30">
        <f>IFERROR(F18/$B61,0)</f>
        <v>1033258.7518648753</v>
      </c>
      <c r="G75" s="30">
        <f t="shared" si="124"/>
        <v>4.7197418674302423</v>
      </c>
      <c r="H75" s="38">
        <f>IFERROR(RadSpec!$I$18*H18,".")*$B$75</f>
        <v>1.18437E-7</v>
      </c>
      <c r="I75" s="38">
        <f>IFERROR(RadSpec!$G$18*I18,".")*$B$75</f>
        <v>9.3438026276098497E-8</v>
      </c>
      <c r="J75" s="38">
        <f>IFERROR(RadSpec!$F$18*J18,".")*$B$75</f>
        <v>9.6781178789451498E-13</v>
      </c>
      <c r="K75" s="47">
        <f t="shared" si="125"/>
        <v>1.18437E-7</v>
      </c>
      <c r="L75" s="47">
        <f t="shared" si="125"/>
        <v>9.3438026276098497E-8</v>
      </c>
      <c r="M75" s="47">
        <f t="shared" si="125"/>
        <v>9.6781178789451498E-13</v>
      </c>
      <c r="N75" s="47">
        <f t="shared" si="126"/>
        <v>2.1187599408788641E-7</v>
      </c>
      <c r="O75" s="30">
        <f>IFERROR(O18/$B61,0)</f>
        <v>8.4433074123795766</v>
      </c>
      <c r="P75" s="30">
        <f>IFERROR(P18/$B61,0)</f>
        <v>1636.5978032148166</v>
      </c>
      <c r="Q75" s="30">
        <f>IFERROR(Q18/$B61,0)</f>
        <v>1033258.7518648753</v>
      </c>
      <c r="R75" s="30">
        <f t="shared" si="127"/>
        <v>8.3999031619904603</v>
      </c>
      <c r="S75" s="38">
        <f>IFERROR(RadSpec!$I$18*S18,".")*$B$75</f>
        <v>1.18437E-7</v>
      </c>
      <c r="T75" s="38">
        <f>IFERROR(RadSpec!$G$18*T18,".")*$B$75</f>
        <v>6.1102367242316422E-10</v>
      </c>
      <c r="U75" s="38">
        <f>IFERROR(RadSpec!$F$18*U18,".")*$B$75</f>
        <v>9.6781178789451498E-13</v>
      </c>
      <c r="V75" s="47">
        <f t="shared" si="128"/>
        <v>1.18437E-7</v>
      </c>
      <c r="W75" s="47">
        <f t="shared" si="129"/>
        <v>6.1102367242316422E-10</v>
      </c>
      <c r="X75" s="47">
        <f t="shared" si="130"/>
        <v>9.6781178789451498E-13</v>
      </c>
      <c r="Y75" s="47">
        <f t="shared" si="131"/>
        <v>1.1904899148421106E-7</v>
      </c>
      <c r="Z75" s="30">
        <f t="shared" ref="Z75:AP75" si="147">IFERROR(Z18/$B61,0)</f>
        <v>1033258.7518648753</v>
      </c>
      <c r="AA75" s="30">
        <f t="shared" si="147"/>
        <v>10822557.207707774</v>
      </c>
      <c r="AB75" s="30">
        <f t="shared" si="147"/>
        <v>2546908.3221597336</v>
      </c>
      <c r="AC75" s="30">
        <f t="shared" si="147"/>
        <v>1266767.6633191966</v>
      </c>
      <c r="AD75" s="30">
        <f t="shared" si="147"/>
        <v>16831369.280441687</v>
      </c>
      <c r="AE75" s="38">
        <f>IFERROR(RadSpec!$F$18*AE18,".")*$B$75</f>
        <v>9.6781178789451498E-13</v>
      </c>
      <c r="AF75" s="38">
        <f>IFERROR(RadSpec!$M$18*AF18,".")*$B$75</f>
        <v>9.2399603976018223E-14</v>
      </c>
      <c r="AG75" s="38">
        <f>IFERROR(RadSpec!$N$18*AG18,".")*$B$75</f>
        <v>3.9263289977866867E-13</v>
      </c>
      <c r="AH75" s="38">
        <f>IFERROR(RadSpec!$O$18*AH18,".")*$B$75</f>
        <v>7.8941074117710771E-13</v>
      </c>
      <c r="AI75" s="38">
        <f>IFERROR(RadSpec!$K$18*AI18,".")*$B$75</f>
        <v>5.9412872674715506E-14</v>
      </c>
      <c r="AJ75" s="47">
        <f t="shared" si="133"/>
        <v>9.6781178789451498E-13</v>
      </c>
      <c r="AK75" s="47">
        <f t="shared" si="133"/>
        <v>9.2399603976018223E-14</v>
      </c>
      <c r="AL75" s="47">
        <f t="shared" si="133"/>
        <v>3.9263289977866867E-13</v>
      </c>
      <c r="AM75" s="47">
        <f t="shared" si="133"/>
        <v>7.8941074117710771E-13</v>
      </c>
      <c r="AN75" s="47">
        <f t="shared" si="133"/>
        <v>5.9412872674715506E-14</v>
      </c>
      <c r="AO75" s="30">
        <f t="shared" si="147"/>
        <v>1.3789299503585218E-2</v>
      </c>
      <c r="AP75" s="30">
        <f t="shared" si="147"/>
        <v>104781688.52894972</v>
      </c>
      <c r="AQ75" s="30">
        <f t="shared" si="134"/>
        <v>1.3789299501770543E-2</v>
      </c>
      <c r="AR75" s="38">
        <f>IFERROR(RadSpec!$G$18*AR18,".")*$B$75</f>
        <v>7.2520000000000004E-5</v>
      </c>
      <c r="AS75" s="38">
        <f>IFERROR(RadSpec!$J$18*AS18,".")*$B$75</f>
        <v>9.5436522739726025E-15</v>
      </c>
      <c r="AT75" s="47">
        <f t="shared" si="135"/>
        <v>7.2520000000000004E-5</v>
      </c>
      <c r="AU75" s="47">
        <f t="shared" si="135"/>
        <v>9.5436522739726025E-15</v>
      </c>
      <c r="AV75" s="47">
        <f t="shared" si="136"/>
        <v>7.2520000009543653E-5</v>
      </c>
    </row>
    <row r="76" spans="1:48" x14ac:dyDescent="0.25">
      <c r="A76" s="29" t="s">
        <v>318</v>
      </c>
      <c r="B76" s="34">
        <v>1.339E-6</v>
      </c>
      <c r="C76" s="2"/>
      <c r="D76" s="30">
        <f>IFERROR(D27/$B62,0)</f>
        <v>0</v>
      </c>
      <c r="E76" s="30">
        <f>IFERROR(E27/$B62,0)</f>
        <v>0</v>
      </c>
      <c r="F76" s="30">
        <f>IFERROR(F27/$B62,0)</f>
        <v>5848105570.9794712</v>
      </c>
      <c r="G76" s="30">
        <f t="shared" si="124"/>
        <v>5848105570.9794712</v>
      </c>
      <c r="H76" s="38">
        <f>IFERROR(RadSpec!$I$27*H27,".")*$B$76</f>
        <v>0</v>
      </c>
      <c r="I76" s="38">
        <f>IFERROR(RadSpec!$G$27*I27,".")*$B$76</f>
        <v>0</v>
      </c>
      <c r="J76" s="38">
        <f>IFERROR(RadSpec!$F$27*J27,".")*$B$76</f>
        <v>1.7099554511505078E-16</v>
      </c>
      <c r="K76" s="47">
        <f t="shared" si="125"/>
        <v>0</v>
      </c>
      <c r="L76" s="47">
        <f t="shared" si="125"/>
        <v>0</v>
      </c>
      <c r="M76" s="47">
        <f t="shared" si="125"/>
        <v>1.7099554511505078E-16</v>
      </c>
      <c r="N76" s="47">
        <f t="shared" si="126"/>
        <v>1.7099554511505078E-16</v>
      </c>
      <c r="O76" s="30">
        <f>IFERROR(O27/$B62,0)</f>
        <v>0</v>
      </c>
      <c r="P76" s="30">
        <f>IFERROR(P27/$B62,0)</f>
        <v>0</v>
      </c>
      <c r="Q76" s="30">
        <f>IFERROR(Q27/$B62,0)</f>
        <v>5848105570.9794712</v>
      </c>
      <c r="R76" s="30">
        <f t="shared" si="127"/>
        <v>5848105570.9794712</v>
      </c>
      <c r="S76" s="38">
        <f>IFERROR(RadSpec!$I$27*S27,".")*$B$76</f>
        <v>0</v>
      </c>
      <c r="T76" s="38">
        <f>IFERROR(RadSpec!$G$27*T27,".")*$B$76</f>
        <v>0</v>
      </c>
      <c r="U76" s="38">
        <f>IFERROR(RadSpec!$F$27*U27,".")*$B$76</f>
        <v>1.7099554511505078E-16</v>
      </c>
      <c r="V76" s="47">
        <f t="shared" si="128"/>
        <v>0</v>
      </c>
      <c r="W76" s="47">
        <f t="shared" si="129"/>
        <v>0</v>
      </c>
      <c r="X76" s="47">
        <f t="shared" si="130"/>
        <v>1.7099554511505078E-16</v>
      </c>
      <c r="Y76" s="47">
        <f t="shared" si="131"/>
        <v>1.7099554511505078E-16</v>
      </c>
      <c r="Z76" s="30">
        <f t="shared" ref="Z76:AP76" si="148">IFERROR(Z27/$B62,0)</f>
        <v>5848105570.9794712</v>
      </c>
      <c r="AA76" s="30">
        <f t="shared" si="148"/>
        <v>26459798385.942795</v>
      </c>
      <c r="AB76" s="30">
        <f t="shared" si="148"/>
        <v>9837403809.1372757</v>
      </c>
      <c r="AC76" s="30">
        <f t="shared" si="148"/>
        <v>6561613651.1776857</v>
      </c>
      <c r="AD76" s="30">
        <f t="shared" si="148"/>
        <v>5643312397.1997566</v>
      </c>
      <c r="AE76" s="38">
        <f>IFERROR(RadSpec!$F$27*AE27,".")*$B$76</f>
        <v>1.7099554511505078E-16</v>
      </c>
      <c r="AF76" s="38">
        <f>IFERROR(RadSpec!$M$27*AF27,".")*$B$76</f>
        <v>3.7793182903890393E-17</v>
      </c>
      <c r="AG76" s="38">
        <f>IFERROR(RadSpec!$N$27*AG27,".")*$B$76</f>
        <v>1.0165283639888504E-16</v>
      </c>
      <c r="AH76" s="38">
        <f>IFERROR(RadSpec!$O$27*AH27,".")*$B$76</f>
        <v>1.5240153614050698E-16</v>
      </c>
      <c r="AI76" s="38">
        <f>IFERROR(RadSpec!$K$27*AI27,".")*$B$76</f>
        <v>1.7720089366241813E-16</v>
      </c>
      <c r="AJ76" s="47">
        <f t="shared" si="133"/>
        <v>1.7099554511505078E-16</v>
      </c>
      <c r="AK76" s="47">
        <f t="shared" si="133"/>
        <v>3.7793182903890393E-17</v>
      </c>
      <c r="AL76" s="47">
        <f t="shared" si="133"/>
        <v>1.0165283639888504E-16</v>
      </c>
      <c r="AM76" s="47">
        <f t="shared" si="133"/>
        <v>1.5240153614050698E-16</v>
      </c>
      <c r="AN76" s="47">
        <f t="shared" si="133"/>
        <v>1.7720089366241813E-16</v>
      </c>
      <c r="AO76" s="30">
        <f t="shared" si="148"/>
        <v>0</v>
      </c>
      <c r="AP76" s="30">
        <f t="shared" si="148"/>
        <v>348010191098.05682</v>
      </c>
      <c r="AQ76" s="30">
        <f t="shared" si="134"/>
        <v>348010191098.05682</v>
      </c>
      <c r="AR76" s="38">
        <f>IFERROR(RadSpec!$G$27*AR27,".")*$B$76</f>
        <v>0</v>
      </c>
      <c r="AS76" s="38">
        <f>IFERROR(RadSpec!$J$27*AS27,".")*$B$76</f>
        <v>2.8734790692328767E-18</v>
      </c>
      <c r="AT76" s="47">
        <f t="shared" si="135"/>
        <v>0</v>
      </c>
      <c r="AU76" s="47">
        <f t="shared" si="135"/>
        <v>2.8734790692328767E-18</v>
      </c>
      <c r="AV76" s="47">
        <f t="shared" si="136"/>
        <v>2.8734790692328767E-18</v>
      </c>
    </row>
  </sheetData>
  <sheetProtection algorithmName="SHA-512" hashValue="vVO9dEawDOZusmkuq3JsRI60f/Ghi46CBks/knuHizFZEgLKGqy1ImKsW2N6iS+5nbTbw9/CndOVxKaB9LJwbQ==" saltValue="2OIvYK8toZ2/JnD8o9nyEg==" spinCount="100000" sheet="1" objects="1" scenarios="1" formatColumns="0" formatRows="0" autoFilter="0"/>
  <autoFilter ref="A1:AV76" xr:uid="{A1ACB8FD-C74A-4D16-8DEB-A00AF27F9F33}"/>
  <pageMargins left="0.7" right="0.7" top="0.75" bottom="0.75" header="0.3" footer="0.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8"/>
  <dimension ref="A1:H30"/>
  <sheetViews>
    <sheetView zoomScale="90" zoomScaleNormal="90" workbookViewId="0">
      <pane xSplit="2" ySplit="1" topLeftCell="C2" activePane="bottomRight" state="frozen"/>
      <selection pane="topRight" activeCell="C1" sqref="C1"/>
      <selection pane="bottomLeft" activeCell="A2" sqref="A2"/>
      <selection pane="bottomRight" activeCell="C2" sqref="C2"/>
    </sheetView>
  </sheetViews>
  <sheetFormatPr defaultRowHeight="15" x14ac:dyDescent="0.25"/>
  <cols>
    <col min="1" max="1" width="15.42578125" style="3" bestFit="1" customWidth="1"/>
    <col min="2" max="2" width="11.5703125" style="3" bestFit="1" customWidth="1"/>
    <col min="3" max="4" width="9.7109375" bestFit="1" customWidth="1"/>
    <col min="5" max="6" width="10.7109375" bestFit="1" customWidth="1"/>
    <col min="7" max="7" width="11.85546875" bestFit="1" customWidth="1"/>
    <col min="8" max="8" width="66.28515625" bestFit="1" customWidth="1"/>
  </cols>
  <sheetData>
    <row r="1" spans="1:8" x14ac:dyDescent="0.25">
      <c r="A1" s="5" t="s">
        <v>51</v>
      </c>
      <c r="B1" s="5" t="s">
        <v>274</v>
      </c>
      <c r="C1" s="8" t="s">
        <v>41</v>
      </c>
      <c r="D1" s="8" t="s">
        <v>42</v>
      </c>
      <c r="E1" s="8" t="s">
        <v>43</v>
      </c>
      <c r="F1" s="8" t="s">
        <v>44</v>
      </c>
      <c r="G1" s="8" t="s">
        <v>45</v>
      </c>
      <c r="H1" s="9" t="s">
        <v>288</v>
      </c>
    </row>
    <row r="2" spans="1:8" x14ac:dyDescent="0.25">
      <c r="A2" s="13" t="s">
        <v>12</v>
      </c>
      <c r="B2" s="3" t="s">
        <v>289</v>
      </c>
      <c r="C2" s="7">
        <v>9.5797101449275404E-2</v>
      </c>
      <c r="D2" s="7">
        <v>9.3059490084985805E-2</v>
      </c>
      <c r="E2" s="7">
        <v>9.6585365853658595E-2</v>
      </c>
      <c r="F2" s="7">
        <v>9.0705128205128202E-2</v>
      </c>
      <c r="G2" s="7">
        <v>9.6404494382022504E-2</v>
      </c>
    </row>
    <row r="3" spans="1:8" x14ac:dyDescent="0.25">
      <c r="A3" s="12" t="s">
        <v>13</v>
      </c>
      <c r="B3" s="3" t="s">
        <v>275</v>
      </c>
      <c r="C3" s="7">
        <v>8.4397163120567401E-2</v>
      </c>
      <c r="D3" s="7">
        <v>0.107692307692308</v>
      </c>
      <c r="E3" s="7">
        <v>9.4560669456066906E-2</v>
      </c>
      <c r="F3" s="7">
        <v>9.5024875621890506E-2</v>
      </c>
      <c r="G3" s="7">
        <v>9.6924829157175402E-2</v>
      </c>
    </row>
    <row r="4" spans="1:8" x14ac:dyDescent="0.25">
      <c r="A4" s="13" t="s">
        <v>14</v>
      </c>
      <c r="B4" s="3" t="s">
        <v>289</v>
      </c>
      <c r="C4" s="7">
        <v>4.2011834319526598E-2</v>
      </c>
      <c r="D4" s="7">
        <v>7.5873015873015898E-2</v>
      </c>
      <c r="E4" s="7">
        <v>5.07177033492823E-2</v>
      </c>
      <c r="F4" s="7">
        <v>7.1111111111111097E-2</v>
      </c>
      <c r="G4" s="7">
        <v>8.3791606367583205E-2</v>
      </c>
    </row>
    <row r="5" spans="1:8" x14ac:dyDescent="0.25">
      <c r="A5" s="13" t="s">
        <v>15</v>
      </c>
      <c r="B5" s="3" t="s">
        <v>289</v>
      </c>
      <c r="C5" s="7">
        <v>0.9</v>
      </c>
      <c r="D5" s="7">
        <v>0.9</v>
      </c>
      <c r="E5" s="7">
        <v>0.9</v>
      </c>
      <c r="F5" s="7">
        <v>0.9</v>
      </c>
      <c r="G5" s="7">
        <v>0.9</v>
      </c>
    </row>
    <row r="6" spans="1:8" x14ac:dyDescent="0.25">
      <c r="A6" s="13" t="s">
        <v>16</v>
      </c>
      <c r="B6" s="3" t="s">
        <v>289</v>
      </c>
      <c r="C6" s="7">
        <v>3.1283422459892997E-2</v>
      </c>
      <c r="D6" s="7">
        <v>8.7632508833922304E-2</v>
      </c>
      <c r="E6" s="7">
        <v>4.6638655462184903E-2</v>
      </c>
      <c r="F6" s="7">
        <v>6.7697594501718195E-2</v>
      </c>
      <c r="G6" s="7">
        <v>8.7261146496815295E-2</v>
      </c>
    </row>
    <row r="7" spans="1:8" x14ac:dyDescent="0.25">
      <c r="A7" s="13" t="s">
        <v>17</v>
      </c>
      <c r="B7" s="3" t="s">
        <v>289</v>
      </c>
      <c r="C7" s="7">
        <v>3.81995133819951E-2</v>
      </c>
      <c r="D7" s="7">
        <v>7.4683544303797506E-2</v>
      </c>
      <c r="E7" s="7">
        <v>0.05</v>
      </c>
      <c r="F7" s="7">
        <v>7.1974522292993601E-2</v>
      </c>
      <c r="G7" s="7">
        <v>8.2940516273849602E-2</v>
      </c>
    </row>
    <row r="8" spans="1:8" x14ac:dyDescent="0.25">
      <c r="A8" s="13" t="s">
        <v>18</v>
      </c>
      <c r="B8" s="3" t="s">
        <v>289</v>
      </c>
      <c r="C8" s="7">
        <v>3.3392857142857099E-2</v>
      </c>
      <c r="D8" s="7">
        <v>8.8172043010752696E-2</v>
      </c>
      <c r="E8" s="7">
        <v>4.81904761904762E-2</v>
      </c>
      <c r="F8" s="7">
        <v>7.1428571428571397E-2</v>
      </c>
      <c r="G8" s="7">
        <v>8.5352112676056302E-2</v>
      </c>
    </row>
    <row r="9" spans="1:8" x14ac:dyDescent="0.25">
      <c r="A9" s="13" t="s">
        <v>19</v>
      </c>
      <c r="B9" s="3" t="s">
        <v>289</v>
      </c>
      <c r="C9" s="7">
        <v>2.8963414634146301E-2</v>
      </c>
      <c r="D9" s="7">
        <v>9.3659942363112397E-2</v>
      </c>
      <c r="E9" s="7">
        <v>4.2990654205607499E-2</v>
      </c>
      <c r="F9" s="7">
        <v>6.4869029275808898E-2</v>
      </c>
      <c r="G9" s="7">
        <v>8.4239130434782594E-2</v>
      </c>
    </row>
    <row r="10" spans="1:8" x14ac:dyDescent="0.25">
      <c r="A10" s="12" t="s">
        <v>20</v>
      </c>
      <c r="B10" s="3" t="s">
        <v>275</v>
      </c>
      <c r="C10" s="7">
        <v>3.3412322274881501E-2</v>
      </c>
      <c r="D10" s="7">
        <v>7.3635307781649201E-2</v>
      </c>
      <c r="E10" s="7">
        <v>4.92028985507246E-2</v>
      </c>
      <c r="F10" s="7">
        <v>7.1668667466986802E-2</v>
      </c>
      <c r="G10" s="7">
        <v>8.2947368421052603E-2</v>
      </c>
    </row>
    <row r="11" spans="1:8" x14ac:dyDescent="0.25">
      <c r="A11" s="13" t="s">
        <v>21</v>
      </c>
      <c r="B11" s="3" t="s">
        <v>289</v>
      </c>
      <c r="C11" s="7">
        <v>4.4927536231884099E-2</v>
      </c>
      <c r="D11" s="7">
        <v>7.3856209150326799E-2</v>
      </c>
      <c r="E11" s="7">
        <v>5.2734375E-2</v>
      </c>
      <c r="F11" s="7">
        <v>7.1895424836601302E-2</v>
      </c>
      <c r="G11" s="7">
        <v>8.42105263157895E-2</v>
      </c>
    </row>
    <row r="12" spans="1:8" x14ac:dyDescent="0.25">
      <c r="A12" s="13" t="s">
        <v>22</v>
      </c>
      <c r="B12" s="3" t="s">
        <v>289</v>
      </c>
      <c r="C12" s="7">
        <v>3.7852760736196298E-2</v>
      </c>
      <c r="D12" s="7">
        <v>7.8920741989881901E-2</v>
      </c>
      <c r="E12" s="7">
        <v>4.9803921568627403E-2</v>
      </c>
      <c r="F12" s="7">
        <v>7.1707317073170698E-2</v>
      </c>
      <c r="G12" s="7">
        <v>8.4057971014492805E-2</v>
      </c>
    </row>
    <row r="13" spans="1:8" x14ac:dyDescent="0.25">
      <c r="A13" s="13" t="s">
        <v>23</v>
      </c>
      <c r="B13" s="3" t="s">
        <v>289</v>
      </c>
      <c r="C13" s="7">
        <v>9.0206185567010294E-2</v>
      </c>
      <c r="D13" s="7">
        <v>0.104379562043796</v>
      </c>
      <c r="E13" s="7">
        <v>0.10709219858155999</v>
      </c>
      <c r="F13" s="7">
        <v>0.105116279069767</v>
      </c>
      <c r="G13" s="7">
        <v>0.106057268722467</v>
      </c>
    </row>
    <row r="14" spans="1:8" x14ac:dyDescent="0.25">
      <c r="A14" s="13" t="s">
        <v>24</v>
      </c>
      <c r="B14" s="3" t="s">
        <v>289</v>
      </c>
      <c r="C14" s="7">
        <v>5.7281553398058301E-2</v>
      </c>
      <c r="D14" s="7">
        <v>8.0961538461538501E-2</v>
      </c>
      <c r="E14" s="7">
        <v>6.16504854368932E-2</v>
      </c>
      <c r="F14" s="7">
        <v>7.6956521739130396E-2</v>
      </c>
      <c r="G14" s="7">
        <v>8.5919999999999996E-2</v>
      </c>
    </row>
    <row r="15" spans="1:8" x14ac:dyDescent="0.25">
      <c r="A15" s="13" t="s">
        <v>25</v>
      </c>
      <c r="B15" s="3" t="s">
        <v>289</v>
      </c>
      <c r="C15" s="7">
        <v>0.9</v>
      </c>
      <c r="D15" s="7">
        <v>0.9</v>
      </c>
      <c r="E15" s="7">
        <v>0.9</v>
      </c>
      <c r="F15" s="7">
        <v>0.9</v>
      </c>
      <c r="G15" s="7">
        <v>0.9</v>
      </c>
    </row>
    <row r="16" spans="1:8" x14ac:dyDescent="0.25">
      <c r="A16" s="13" t="s">
        <v>26</v>
      </c>
      <c r="B16" s="3" t="s">
        <v>289</v>
      </c>
      <c r="C16" s="7">
        <v>0.12648026315789501</v>
      </c>
      <c r="D16" s="7">
        <v>0.131547619047619</v>
      </c>
      <c r="E16" s="7">
        <v>0.15049504950494999</v>
      </c>
      <c r="F16" s="7">
        <v>0.13783783783783801</v>
      </c>
      <c r="G16" s="7">
        <v>0.14537037037037001</v>
      </c>
    </row>
    <row r="17" spans="1:7" x14ac:dyDescent="0.25">
      <c r="A17" s="13" t="s">
        <v>27</v>
      </c>
      <c r="B17" s="3" t="s">
        <v>289</v>
      </c>
      <c r="C17" s="7">
        <v>4.1011235955056201E-2</v>
      </c>
      <c r="D17" s="7">
        <v>8.1260504201680697E-2</v>
      </c>
      <c r="E17" s="7">
        <v>5.06976744186046E-2</v>
      </c>
      <c r="F17" s="7">
        <v>7.2656250000000006E-2</v>
      </c>
      <c r="G17" s="7">
        <v>8.4027777777777798E-2</v>
      </c>
    </row>
    <row r="18" spans="1:7" x14ac:dyDescent="0.25">
      <c r="A18" s="13" t="s">
        <v>28</v>
      </c>
      <c r="B18" s="3" t="s">
        <v>289</v>
      </c>
      <c r="C18" s="7">
        <v>2.9915254237288101E-2</v>
      </c>
      <c r="D18" s="7">
        <v>9.4052863436123402E-2</v>
      </c>
      <c r="E18" s="7">
        <v>4.5225464190981397E-2</v>
      </c>
      <c r="F18" s="7">
        <v>6.7685589519650702E-2</v>
      </c>
      <c r="G18" s="7">
        <v>8.7351778656126505E-2</v>
      </c>
    </row>
    <row r="19" spans="1:7" x14ac:dyDescent="0.25">
      <c r="A19" s="13" t="s">
        <v>29</v>
      </c>
      <c r="B19" s="3" t="s">
        <v>289</v>
      </c>
      <c r="C19" s="7">
        <v>3.0131004366812202E-2</v>
      </c>
      <c r="D19" s="7">
        <v>9.3142857142857097E-2</v>
      </c>
      <c r="E19" s="7">
        <v>4.5547945205479501E-2</v>
      </c>
      <c r="F19" s="7">
        <v>6.7796610169491497E-2</v>
      </c>
      <c r="G19" s="7">
        <v>8.7487179487179503E-2</v>
      </c>
    </row>
    <row r="20" spans="1:7" x14ac:dyDescent="0.25">
      <c r="A20" s="13" t="s">
        <v>30</v>
      </c>
      <c r="B20" s="3" t="s">
        <v>289</v>
      </c>
      <c r="C20" s="7">
        <v>2.99009900990099E-2</v>
      </c>
      <c r="D20" s="7">
        <v>9.3814432989690694E-2</v>
      </c>
      <c r="E20" s="7">
        <v>4.5186335403726699E-2</v>
      </c>
      <c r="F20" s="7">
        <v>6.7774936061381102E-2</v>
      </c>
      <c r="G20" s="7">
        <v>8.7499999999999994E-2</v>
      </c>
    </row>
    <row r="21" spans="1:7" x14ac:dyDescent="0.25">
      <c r="A21" s="13" t="s">
        <v>31</v>
      </c>
      <c r="B21" s="3" t="s">
        <v>289</v>
      </c>
      <c r="C21" s="7">
        <v>0.9</v>
      </c>
      <c r="D21" s="7">
        <v>0.9</v>
      </c>
      <c r="E21" s="7">
        <v>0.9</v>
      </c>
      <c r="F21" s="7">
        <v>0.9</v>
      </c>
      <c r="G21" s="7">
        <v>0.9</v>
      </c>
    </row>
    <row r="22" spans="1:7" x14ac:dyDescent="0.25">
      <c r="A22" s="13" t="s">
        <v>32</v>
      </c>
      <c r="B22" s="3" t="s">
        <v>289</v>
      </c>
      <c r="C22" s="7">
        <v>7.8442280945758003E-2</v>
      </c>
      <c r="D22" s="7">
        <v>9.8879551820728301E-2</v>
      </c>
      <c r="E22" s="7">
        <v>9.1821561338289906E-2</v>
      </c>
      <c r="F22" s="7">
        <v>0.102702702702703</v>
      </c>
      <c r="G22" s="7">
        <v>0.119201995012469</v>
      </c>
    </row>
    <row r="23" spans="1:7" x14ac:dyDescent="0.25">
      <c r="A23" s="12" t="s">
        <v>33</v>
      </c>
      <c r="B23" s="3" t="s">
        <v>275</v>
      </c>
      <c r="C23" s="7">
        <v>4.9459459459459502E-2</v>
      </c>
      <c r="D23" s="7">
        <v>7.9108635097492996E-2</v>
      </c>
      <c r="E23" s="7">
        <v>5.4863221884498499E-2</v>
      </c>
      <c r="F23" s="7">
        <v>7.1611253196930902E-2</v>
      </c>
      <c r="G23" s="7">
        <v>8.6893203883495099E-2</v>
      </c>
    </row>
    <row r="24" spans="1:7" x14ac:dyDescent="0.25">
      <c r="A24" s="13" t="s">
        <v>34</v>
      </c>
      <c r="B24" s="3" t="s">
        <v>289</v>
      </c>
      <c r="C24" s="7">
        <v>3.1434599156118098E-2</v>
      </c>
      <c r="D24" s="7">
        <v>8.6033519553072604E-2</v>
      </c>
      <c r="E24" s="7">
        <v>4.6611570247933901E-2</v>
      </c>
      <c r="F24" s="7">
        <v>6.7924528301886805E-2</v>
      </c>
      <c r="G24" s="7">
        <v>8.7499999999999994E-2</v>
      </c>
    </row>
    <row r="25" spans="1:7" x14ac:dyDescent="0.25">
      <c r="A25" s="12" t="s">
        <v>35</v>
      </c>
      <c r="B25" s="3" t="s">
        <v>275</v>
      </c>
      <c r="C25" s="7">
        <v>3.1388329979879302E-2</v>
      </c>
      <c r="D25" s="7">
        <v>8.6931818181818193E-2</v>
      </c>
      <c r="E25" s="7">
        <v>4.7452229299363102E-2</v>
      </c>
      <c r="F25" s="7">
        <v>6.9633507853403095E-2</v>
      </c>
      <c r="G25" s="7">
        <v>8.61320754716981E-2</v>
      </c>
    </row>
    <row r="26" spans="1:7" x14ac:dyDescent="0.25">
      <c r="A26" s="13" t="s">
        <v>36</v>
      </c>
      <c r="B26" s="3" t="s">
        <v>289</v>
      </c>
      <c r="C26" s="7">
        <v>8.8307692307692295E-2</v>
      </c>
      <c r="D26" s="7">
        <v>8.9320388349514598E-2</v>
      </c>
      <c r="E26" s="7">
        <v>8.6249999999999993E-2</v>
      </c>
      <c r="F26" s="7">
        <v>8.6703096539162097E-2</v>
      </c>
      <c r="G26" s="7">
        <v>9.2337164750957906E-2</v>
      </c>
    </row>
    <row r="27" spans="1:7" x14ac:dyDescent="0.25">
      <c r="A27" s="13" t="s">
        <v>37</v>
      </c>
      <c r="B27" s="3" t="s">
        <v>289</v>
      </c>
      <c r="C27" s="7">
        <v>6.7632850241545903E-2</v>
      </c>
      <c r="D27" s="7">
        <v>9.1594827586206906E-2</v>
      </c>
      <c r="E27" s="7">
        <v>5.9615384615384598E-2</v>
      </c>
      <c r="F27" s="7">
        <v>7.5418060200668893E-2</v>
      </c>
      <c r="G27" s="7">
        <v>8.5049833887043194E-2</v>
      </c>
    </row>
    <row r="28" spans="1:7" x14ac:dyDescent="0.25">
      <c r="A28" s="13" t="s">
        <v>38</v>
      </c>
      <c r="B28" s="3" t="s">
        <v>289</v>
      </c>
      <c r="C28" s="7">
        <v>2.99586776859504E-2</v>
      </c>
      <c r="D28" s="7">
        <v>9.4200000000000006E-2</v>
      </c>
      <c r="E28" s="7">
        <v>4.3459119496855297E-2</v>
      </c>
      <c r="F28" s="7">
        <v>6.6041666666666707E-2</v>
      </c>
      <c r="G28" s="7">
        <v>8.38235294117647E-2</v>
      </c>
    </row>
    <row r="29" spans="1:7" x14ac:dyDescent="0.25">
      <c r="A29" s="13" t="s">
        <v>39</v>
      </c>
      <c r="B29" s="3" t="s">
        <v>289</v>
      </c>
      <c r="C29" s="7">
        <v>3.0634920634920602E-2</v>
      </c>
      <c r="D29" s="7">
        <v>9.2307692307692299E-2</v>
      </c>
      <c r="E29" s="7">
        <v>4.4158415841584198E-2</v>
      </c>
      <c r="F29" s="7">
        <v>6.5609756097561006E-2</v>
      </c>
      <c r="G29" s="7">
        <v>8.4339080459770094E-2</v>
      </c>
    </row>
    <row r="30" spans="1:7" x14ac:dyDescent="0.25">
      <c r="A30" s="13" t="s">
        <v>40</v>
      </c>
      <c r="B30" s="3" t="s">
        <v>289</v>
      </c>
      <c r="C30" s="7">
        <v>0.108125</v>
      </c>
      <c r="D30" s="7">
        <v>0.15398936170212801</v>
      </c>
      <c r="E30" s="7">
        <v>0.153198653198653</v>
      </c>
      <c r="F30" s="7">
        <v>0.14896551724137899</v>
      </c>
      <c r="G30" s="7">
        <v>0.15503875968992201</v>
      </c>
    </row>
  </sheetData>
  <sheetProtection algorithmName="SHA-512" hashValue="kZktlRTNszfxv7It/JJR7lwxQL1S9MgwUM8SGVg/2crtobes5zPDz7mgLWe52tO1SnsoQlkSFoxqP1A5H/UpmA==" saltValue="X9lxLrced8c6AhEkQveZag==" spinCount="100000" sheet="1" objects="1" scenarios="1" formatColumns="0" formatRows="0" autoFilter="0"/>
  <autoFilter ref="A1:G30" xr:uid="{00000000-0009-0000-0000-000011000000}"/>
  <pageMargins left="0.7" right="0.7" top="0.75" bottom="0.75" header="0.3" footer="0.3"/>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9"/>
  <dimension ref="A1:AK30"/>
  <sheetViews>
    <sheetView zoomScale="90" zoomScaleNormal="90" workbookViewId="0">
      <pane xSplit="2" ySplit="1" topLeftCell="C2" activePane="bottomRight" state="frozen"/>
      <selection pane="topRight" activeCell="C1" sqref="C1"/>
      <selection pane="bottomLeft" activeCell="A2" sqref="A2"/>
      <selection pane="bottomRight" activeCell="C2" sqref="C2"/>
    </sheetView>
  </sheetViews>
  <sheetFormatPr defaultColWidth="9.140625" defaultRowHeight="15" x14ac:dyDescent="0.25"/>
  <cols>
    <col min="1" max="1" width="15.42578125" style="3" bestFit="1" customWidth="1"/>
    <col min="2" max="2" width="11.5703125" style="3" bestFit="1" customWidth="1"/>
    <col min="3" max="3" width="10.28515625" style="3" bestFit="1" customWidth="1"/>
    <col min="4" max="4" width="9" style="3" bestFit="1" customWidth="1"/>
    <col min="5" max="5" width="9" style="4" bestFit="1" customWidth="1"/>
    <col min="6" max="6" width="8.7109375" style="4" bestFit="1" customWidth="1"/>
    <col min="7" max="8" width="9" style="4" bestFit="1" customWidth="1"/>
    <col min="9" max="9" width="9.85546875" style="4" bestFit="1" customWidth="1"/>
    <col min="10" max="10" width="11" style="4" bestFit="1" customWidth="1"/>
    <col min="11" max="11" width="9.7109375" style="4" bestFit="1" customWidth="1"/>
    <col min="12" max="14" width="10.7109375" style="4" bestFit="1" customWidth="1"/>
    <col min="15" max="15" width="11.85546875" style="4" bestFit="1" customWidth="1"/>
    <col min="16" max="16" width="9.7109375" style="1" customWidth="1"/>
    <col min="17" max="17" width="9.7109375" style="1" bestFit="1" customWidth="1"/>
    <col min="18" max="19" width="10.7109375" style="1" bestFit="1" customWidth="1"/>
    <col min="20" max="20" width="11.85546875" style="1" bestFit="1" customWidth="1"/>
    <col min="21" max="21" width="9.85546875" style="1" bestFit="1" customWidth="1"/>
    <col min="22" max="22" width="9.7109375" style="1" bestFit="1" customWidth="1"/>
    <col min="23" max="24" width="10.7109375" style="1" bestFit="1" customWidth="1"/>
    <col min="25" max="25" width="11.85546875" style="1" bestFit="1" customWidth="1"/>
    <col min="26" max="26" width="10.42578125" style="1" customWidth="1"/>
    <col min="27" max="27" width="10.28515625" style="1" customWidth="1"/>
    <col min="28" max="29" width="11.28515625" style="1" customWidth="1"/>
    <col min="30" max="30" width="12.42578125" style="1" bestFit="1" customWidth="1"/>
    <col min="31" max="31" width="10" style="1" bestFit="1" customWidth="1"/>
    <col min="32" max="33" width="9" style="1" bestFit="1" customWidth="1"/>
    <col min="34" max="34" width="9.5703125" style="1" bestFit="1" customWidth="1"/>
    <col min="35" max="35" width="9" style="1" bestFit="1" customWidth="1"/>
    <col min="36" max="36" width="13.28515625" style="1" bestFit="1" customWidth="1"/>
    <col min="37" max="37" width="6.140625" style="2" bestFit="1" customWidth="1"/>
    <col min="38" max="16384" width="9.140625" style="2"/>
  </cols>
  <sheetData>
    <row r="1" spans="1:37" s="6" customFormat="1" x14ac:dyDescent="0.25">
      <c r="A1" s="49" t="s">
        <v>51</v>
      </c>
      <c r="B1" s="49" t="s">
        <v>274</v>
      </c>
      <c r="C1" s="49" t="s">
        <v>278</v>
      </c>
      <c r="D1" s="50" t="s">
        <v>0</v>
      </c>
      <c r="E1" s="50" t="s">
        <v>1</v>
      </c>
      <c r="F1" s="50" t="s">
        <v>2</v>
      </c>
      <c r="G1" s="51" t="s">
        <v>3</v>
      </c>
      <c r="H1" s="50" t="s">
        <v>4</v>
      </c>
      <c r="I1" s="50" t="s">
        <v>5</v>
      </c>
      <c r="J1" s="50" t="s">
        <v>6</v>
      </c>
      <c r="K1" s="50" t="s">
        <v>7</v>
      </c>
      <c r="L1" s="50" t="s">
        <v>8</v>
      </c>
      <c r="M1" s="50" t="s">
        <v>9</v>
      </c>
      <c r="N1" s="50" t="s">
        <v>10</v>
      </c>
      <c r="O1" s="50" t="s">
        <v>11</v>
      </c>
      <c r="P1" s="67" t="s">
        <v>41</v>
      </c>
      <c r="Q1" s="67" t="s">
        <v>42</v>
      </c>
      <c r="R1" s="67" t="s">
        <v>43</v>
      </c>
      <c r="S1" s="67" t="s">
        <v>44</v>
      </c>
      <c r="T1" s="67" t="s">
        <v>45</v>
      </c>
      <c r="U1" s="67" t="s">
        <v>46</v>
      </c>
      <c r="V1" s="67" t="s">
        <v>47</v>
      </c>
      <c r="W1" s="67" t="s">
        <v>48</v>
      </c>
      <c r="X1" s="67" t="s">
        <v>49</v>
      </c>
      <c r="Y1" s="67" t="s">
        <v>50</v>
      </c>
      <c r="Z1" s="51" t="s">
        <v>279</v>
      </c>
      <c r="AA1" s="51" t="s">
        <v>280</v>
      </c>
      <c r="AB1" s="51" t="s">
        <v>281</v>
      </c>
      <c r="AC1" s="51" t="s">
        <v>282</v>
      </c>
      <c r="AD1" s="51" t="s">
        <v>283</v>
      </c>
      <c r="AE1" s="52" t="s">
        <v>269</v>
      </c>
      <c r="AF1" s="52" t="s">
        <v>270</v>
      </c>
      <c r="AG1" s="53" t="s">
        <v>86</v>
      </c>
      <c r="AH1" s="53" t="s">
        <v>271</v>
      </c>
      <c r="AI1" s="53" t="s">
        <v>272</v>
      </c>
      <c r="AJ1" s="54" t="s">
        <v>276</v>
      </c>
      <c r="AK1" s="54" t="s">
        <v>277</v>
      </c>
    </row>
    <row r="2" spans="1:37" x14ac:dyDescent="0.25">
      <c r="A2" s="23" t="s">
        <v>12</v>
      </c>
      <c r="B2" s="24" t="s">
        <v>289</v>
      </c>
      <c r="C2" s="24"/>
      <c r="D2" s="22">
        <v>4.8839999999999999E-10</v>
      </c>
      <c r="E2" s="22">
        <v>2.7158000000000001E-10</v>
      </c>
      <c r="F2" s="22">
        <v>4.1217381359999998E-8</v>
      </c>
      <c r="G2" s="22">
        <v>2.8564E-8</v>
      </c>
      <c r="H2" s="22">
        <v>1.8907E-10</v>
      </c>
      <c r="I2" s="22">
        <v>9.0279999999999997E-11</v>
      </c>
      <c r="J2" s="22">
        <v>5.1492535920000001E-11</v>
      </c>
      <c r="K2" s="22">
        <v>1.202660136E-8</v>
      </c>
      <c r="L2" s="22">
        <v>1.1407756824E-13</v>
      </c>
      <c r="M2" s="22">
        <v>1.1545537305600001E-8</v>
      </c>
      <c r="N2" s="22">
        <v>2.9891358720000003E-8</v>
      </c>
      <c r="O2" s="22">
        <v>4.0166513280000001E-8</v>
      </c>
      <c r="P2" s="68">
        <v>0.98115942028985503</v>
      </c>
      <c r="Q2" s="68">
        <v>0.94192634560906496</v>
      </c>
      <c r="R2" s="68">
        <v>0.931707317073171</v>
      </c>
      <c r="S2" s="68">
        <v>0.91452991452991494</v>
      </c>
      <c r="T2" s="68">
        <v>0.91685393258426995</v>
      </c>
      <c r="U2" s="68">
        <v>1.1999999999999999E-3</v>
      </c>
      <c r="V2" s="68">
        <v>0.02</v>
      </c>
      <c r="W2" s="68">
        <v>0.01</v>
      </c>
      <c r="X2" s="68">
        <v>1.4999999999999999E-2</v>
      </c>
      <c r="Y2" s="68">
        <v>1.7999999999999999E-2</v>
      </c>
      <c r="Z2" s="55">
        <f t="shared" ref="Z2:AD2" si="0">0.4*U2</f>
        <v>4.7999999999999996E-4</v>
      </c>
      <c r="AA2" s="55">
        <f t="shared" si="0"/>
        <v>8.0000000000000002E-3</v>
      </c>
      <c r="AB2" s="55">
        <f t="shared" si="0"/>
        <v>4.0000000000000001E-3</v>
      </c>
      <c r="AC2" s="55">
        <f t="shared" si="0"/>
        <v>6.0000000000000001E-3</v>
      </c>
      <c r="AD2" s="55">
        <f t="shared" si="0"/>
        <v>7.1999999999999998E-3</v>
      </c>
      <c r="AE2" s="22">
        <v>2.7397260273972601E-2</v>
      </c>
      <c r="AF2" s="22">
        <v>225</v>
      </c>
      <c r="AG2" s="22">
        <v>1700</v>
      </c>
      <c r="AH2" s="22">
        <v>5.0000000000000001E-4</v>
      </c>
      <c r="AI2" s="22">
        <v>25.294499999999999</v>
      </c>
      <c r="AJ2" s="24">
        <v>15</v>
      </c>
      <c r="AK2" s="24">
        <v>225</v>
      </c>
    </row>
    <row r="3" spans="1:37" x14ac:dyDescent="0.25">
      <c r="A3" s="25" t="s">
        <v>13</v>
      </c>
      <c r="B3" s="24" t="s">
        <v>275</v>
      </c>
      <c r="C3" s="24"/>
      <c r="D3" s="22">
        <v>1.8425999999999999E-10</v>
      </c>
      <c r="E3" s="22">
        <v>1.3357000000000001E-10</v>
      </c>
      <c r="F3" s="22">
        <v>2.767285944E-8</v>
      </c>
      <c r="G3" s="22">
        <v>3.7739999999999999E-8</v>
      </c>
      <c r="H3" s="22">
        <v>1.036E-10</v>
      </c>
      <c r="I3" s="22">
        <v>9.1019999999999999E-11</v>
      </c>
      <c r="J3" s="22">
        <v>5.8031270640000001E-11</v>
      </c>
      <c r="K3" s="22">
        <v>1.86820992E-8</v>
      </c>
      <c r="L3" s="22">
        <v>1.319423256E-13</v>
      </c>
      <c r="M3" s="22">
        <v>1.3754695536000001E-8</v>
      </c>
      <c r="N3" s="22">
        <v>2.5781296896000001E-8</v>
      </c>
      <c r="O3" s="22">
        <v>2.767285944E-8</v>
      </c>
      <c r="P3" s="68">
        <v>0.98581560283687897</v>
      </c>
      <c r="Q3" s="68">
        <v>0.95726495726495697</v>
      </c>
      <c r="R3" s="68">
        <v>0.93096234309623405</v>
      </c>
      <c r="S3" s="68">
        <v>0.90049751243781095</v>
      </c>
      <c r="T3" s="68">
        <v>0.87357630979498901</v>
      </c>
      <c r="U3" s="68">
        <v>6.7000000000000002E-5</v>
      </c>
      <c r="V3" s="68">
        <v>1.4999999999999999E-4</v>
      </c>
      <c r="W3" s="68">
        <v>1.1E-4</v>
      </c>
      <c r="X3" s="68">
        <v>1.4999999999999999E-4</v>
      </c>
      <c r="Y3" s="68">
        <v>1.4999999999999999E-4</v>
      </c>
      <c r="Z3" s="55">
        <f t="shared" ref="Z3:AD3" si="1">0.4*U3</f>
        <v>2.6800000000000001E-5</v>
      </c>
      <c r="AA3" s="55">
        <f t="shared" si="1"/>
        <v>5.9999999999999995E-5</v>
      </c>
      <c r="AB3" s="55">
        <f t="shared" si="1"/>
        <v>4.4000000000000006E-5</v>
      </c>
      <c r="AC3" s="55">
        <f t="shared" si="1"/>
        <v>5.9999999999999995E-5</v>
      </c>
      <c r="AD3" s="55">
        <f t="shared" si="1"/>
        <v>5.9999999999999995E-5</v>
      </c>
      <c r="AE3" s="22">
        <v>432.2</v>
      </c>
      <c r="AF3" s="22">
        <v>241</v>
      </c>
      <c r="AG3" s="22">
        <v>4</v>
      </c>
      <c r="AH3" s="22">
        <v>5.0000000000000001E-4</v>
      </c>
      <c r="AI3" s="22">
        <v>1.60342434058306E-3</v>
      </c>
      <c r="AJ3" s="24">
        <v>15</v>
      </c>
      <c r="AK3" s="24">
        <v>241</v>
      </c>
    </row>
    <row r="4" spans="1:37" x14ac:dyDescent="0.25">
      <c r="A4" s="23" t="s">
        <v>14</v>
      </c>
      <c r="B4" s="24" t="s">
        <v>289</v>
      </c>
      <c r="C4" s="24"/>
      <c r="D4" s="22">
        <v>0</v>
      </c>
      <c r="E4" s="22">
        <v>0</v>
      </c>
      <c r="F4" s="22">
        <v>9.364402224000001E-10</v>
      </c>
      <c r="G4" s="22">
        <v>0</v>
      </c>
      <c r="H4" s="22">
        <v>0</v>
      </c>
      <c r="I4" s="22">
        <v>0</v>
      </c>
      <c r="J4" s="22">
        <v>9.7613968320000008E-13</v>
      </c>
      <c r="K4" s="22">
        <v>2.125088784E-10</v>
      </c>
      <c r="L4" s="22">
        <v>2.1367650959999998E-15</v>
      </c>
      <c r="M4" s="22">
        <v>2.1671235072E-10</v>
      </c>
      <c r="N4" s="22">
        <v>5.9782717440000002E-10</v>
      </c>
      <c r="O4" s="22">
        <v>8.7805866240000002E-10</v>
      </c>
      <c r="P4" s="68">
        <v>0.914201183431953</v>
      </c>
      <c r="Q4" s="68">
        <v>0.85714285714285698</v>
      </c>
      <c r="R4" s="68">
        <v>0.90909090909090895</v>
      </c>
      <c r="S4" s="68">
        <v>0.91269841269841301</v>
      </c>
      <c r="T4" s="68">
        <v>0.89869753979739497</v>
      </c>
      <c r="U4" s="68">
        <v>1.4E-2</v>
      </c>
      <c r="V4" s="68">
        <v>4.4999999999999998E-2</v>
      </c>
      <c r="W4" s="68">
        <v>2.5999999999999999E-2</v>
      </c>
      <c r="X4" s="68">
        <v>3.5999999999999997E-2</v>
      </c>
      <c r="Y4" s="68">
        <v>4.2000000000000003E-2</v>
      </c>
      <c r="Z4" s="55">
        <f t="shared" ref="Z4:AD6" si="2">0.4*U4</f>
        <v>5.6000000000000008E-3</v>
      </c>
      <c r="AA4" s="55">
        <f t="shared" si="2"/>
        <v>1.7999999999999999E-2</v>
      </c>
      <c r="AB4" s="55">
        <f t="shared" si="2"/>
        <v>1.04E-2</v>
      </c>
      <c r="AC4" s="55">
        <f t="shared" si="2"/>
        <v>1.44E-2</v>
      </c>
      <c r="AD4" s="55">
        <f t="shared" si="2"/>
        <v>1.6800000000000002E-2</v>
      </c>
      <c r="AE4" s="22">
        <v>1.0242262810756E-9</v>
      </c>
      <c r="AF4" s="22">
        <v>217</v>
      </c>
      <c r="AG4" s="22">
        <v>10</v>
      </c>
      <c r="AH4" s="22"/>
      <c r="AI4" s="22">
        <v>676608297.21362197</v>
      </c>
      <c r="AJ4" s="24">
        <v>15</v>
      </c>
      <c r="AK4" s="24">
        <v>217</v>
      </c>
    </row>
    <row r="5" spans="1:37" x14ac:dyDescent="0.25">
      <c r="A5" s="23" t="s">
        <v>15</v>
      </c>
      <c r="B5" s="24" t="s">
        <v>289</v>
      </c>
      <c r="C5" s="24"/>
      <c r="D5" s="22">
        <v>0</v>
      </c>
      <c r="E5" s="22">
        <v>0</v>
      </c>
      <c r="F5" s="22">
        <v>2.7439333200000001E-11</v>
      </c>
      <c r="G5" s="22">
        <v>0</v>
      </c>
      <c r="H5" s="22">
        <v>0</v>
      </c>
      <c r="I5" s="22">
        <v>0</v>
      </c>
      <c r="J5" s="22">
        <v>3.0825463680000002E-14</v>
      </c>
      <c r="K5" s="22">
        <v>1.9966493520000001E-11</v>
      </c>
      <c r="L5" s="22">
        <v>5.1259009680000003E-17</v>
      </c>
      <c r="M5" s="22">
        <v>8.3882625408000002E-12</v>
      </c>
      <c r="N5" s="22">
        <v>1.8436896648E-11</v>
      </c>
      <c r="O5" s="22">
        <v>2.5571123280000002E-11</v>
      </c>
      <c r="P5" s="68">
        <v>0.9</v>
      </c>
      <c r="Q5" s="68">
        <v>0.9</v>
      </c>
      <c r="R5" s="68">
        <v>0.9</v>
      </c>
      <c r="S5" s="68">
        <v>0.9</v>
      </c>
      <c r="T5" s="68">
        <v>0.9</v>
      </c>
      <c r="U5" s="68">
        <v>0</v>
      </c>
      <c r="V5" s="68">
        <v>0</v>
      </c>
      <c r="W5" s="68">
        <v>0</v>
      </c>
      <c r="X5" s="68">
        <v>0</v>
      </c>
      <c r="Y5" s="68">
        <v>0</v>
      </c>
      <c r="Z5" s="55">
        <f t="shared" si="2"/>
        <v>0</v>
      </c>
      <c r="AA5" s="55">
        <f t="shared" si="2"/>
        <v>0</v>
      </c>
      <c r="AB5" s="55">
        <f t="shared" si="2"/>
        <v>0</v>
      </c>
      <c r="AC5" s="55">
        <f t="shared" si="2"/>
        <v>0</v>
      </c>
      <c r="AD5" s="55">
        <f t="shared" si="2"/>
        <v>0</v>
      </c>
      <c r="AE5" s="22">
        <v>4.7564687975646899E-8</v>
      </c>
      <c r="AF5" s="22">
        <v>218</v>
      </c>
      <c r="AG5" s="22">
        <v>10</v>
      </c>
      <c r="AH5" s="22"/>
      <c r="AI5" s="22">
        <v>14569632</v>
      </c>
      <c r="AJ5" s="24">
        <v>15</v>
      </c>
      <c r="AK5" s="24">
        <v>218</v>
      </c>
    </row>
    <row r="6" spans="1:37" x14ac:dyDescent="0.25">
      <c r="A6" s="23" t="s">
        <v>16</v>
      </c>
      <c r="B6" s="24" t="s">
        <v>289</v>
      </c>
      <c r="C6" s="24"/>
      <c r="D6" s="22">
        <v>0</v>
      </c>
      <c r="E6" s="22">
        <v>0</v>
      </c>
      <c r="F6" s="22">
        <v>2.6855517600000001E-6</v>
      </c>
      <c r="G6" s="22">
        <v>0</v>
      </c>
      <c r="H6" s="22">
        <v>0</v>
      </c>
      <c r="I6" s="22">
        <v>0</v>
      </c>
      <c r="J6" s="22">
        <v>2.5220833919999999E-9</v>
      </c>
      <c r="K6" s="22">
        <v>5.3594272079999995E-7</v>
      </c>
      <c r="L6" s="22">
        <v>5.4645140159999999E-12</v>
      </c>
      <c r="M6" s="22">
        <v>5.4738550656000004E-7</v>
      </c>
      <c r="N6" s="22">
        <v>1.5436084463999999E-6</v>
      </c>
      <c r="O6" s="22">
        <v>2.3936439600000001E-6</v>
      </c>
      <c r="P6" s="68">
        <v>0.88636363636363602</v>
      </c>
      <c r="Q6" s="68">
        <v>0.91519434628975305</v>
      </c>
      <c r="R6" s="68">
        <v>0.93487394957983205</v>
      </c>
      <c r="S6" s="68">
        <v>0.91752577319587603</v>
      </c>
      <c r="T6" s="68">
        <v>0.95541401273885396</v>
      </c>
      <c r="U6" s="68">
        <v>2.7E-2</v>
      </c>
      <c r="V6" s="68">
        <v>8.2000000000000003E-2</v>
      </c>
      <c r="W6" s="68">
        <v>4.2999999999999997E-2</v>
      </c>
      <c r="X6" s="68">
        <v>6.2E-2</v>
      </c>
      <c r="Y6" s="68">
        <v>7.1999999999999995E-2</v>
      </c>
      <c r="Z6" s="55">
        <f t="shared" si="2"/>
        <v>1.0800000000000001E-2</v>
      </c>
      <c r="AA6" s="55">
        <f t="shared" si="2"/>
        <v>3.2800000000000003E-2</v>
      </c>
      <c r="AB6" s="55">
        <f t="shared" si="2"/>
        <v>1.72E-2</v>
      </c>
      <c r="AC6" s="55">
        <f t="shared" si="2"/>
        <v>2.4800000000000003E-2</v>
      </c>
      <c r="AD6" s="55">
        <f t="shared" si="2"/>
        <v>2.8799999999999999E-2</v>
      </c>
      <c r="AE6" s="22">
        <v>4.8554033485540298E-6</v>
      </c>
      <c r="AF6" s="22">
        <v>137</v>
      </c>
      <c r="AG6" s="22">
        <v>0.4</v>
      </c>
      <c r="AH6" s="22"/>
      <c r="AI6" s="22">
        <v>142727.58620689699</v>
      </c>
      <c r="AJ6" s="24"/>
      <c r="AK6" s="24">
        <v>137</v>
      </c>
    </row>
    <row r="7" spans="1:37" x14ac:dyDescent="0.25">
      <c r="A7" s="23" t="s">
        <v>17</v>
      </c>
      <c r="B7" s="24" t="s">
        <v>289</v>
      </c>
      <c r="C7" s="24"/>
      <c r="D7" s="22">
        <v>2.4013E-11</v>
      </c>
      <c r="E7" s="22">
        <v>1.3023999999999999E-11</v>
      </c>
      <c r="F7" s="22">
        <v>2.7672859440000002E-9</v>
      </c>
      <c r="G7" s="22">
        <v>4.5510000000000001E-10</v>
      </c>
      <c r="H7" s="22">
        <v>8.9170000000000001E-12</v>
      </c>
      <c r="I7" s="22">
        <v>3.7369999999999999E-12</v>
      </c>
      <c r="J7" s="22">
        <v>5.2893693360000002E-12</v>
      </c>
      <c r="K7" s="22">
        <v>4.8223168560000003E-9</v>
      </c>
      <c r="L7" s="22">
        <v>7.82312904E-15</v>
      </c>
      <c r="M7" s="22">
        <v>9.5465526912000009E-10</v>
      </c>
      <c r="N7" s="22">
        <v>2.0550309120000001E-9</v>
      </c>
      <c r="O7" s="22">
        <v>2.6855517600000001E-9</v>
      </c>
      <c r="P7" s="68">
        <v>0.90997566909975702</v>
      </c>
      <c r="Q7" s="68">
        <v>0.867088607594937</v>
      </c>
      <c r="R7" s="68">
        <v>0.90839694656488501</v>
      </c>
      <c r="S7" s="68">
        <v>0.92993630573248398</v>
      </c>
      <c r="T7" s="68">
        <v>0.87429854096520798</v>
      </c>
      <c r="U7" s="68">
        <v>1.4E-2</v>
      </c>
      <c r="V7" s="68">
        <v>0.04</v>
      </c>
      <c r="W7" s="68">
        <v>2.4E-2</v>
      </c>
      <c r="X7" s="68">
        <v>3.2000000000000001E-2</v>
      </c>
      <c r="Y7" s="68">
        <v>3.6999999999999998E-2</v>
      </c>
      <c r="Z7" s="55">
        <f t="shared" ref="Z7:AD9" si="3">0.4*U7</f>
        <v>5.6000000000000008E-3</v>
      </c>
      <c r="AA7" s="55">
        <f t="shared" si="3"/>
        <v>1.6E-2</v>
      </c>
      <c r="AB7" s="55">
        <f t="shared" si="3"/>
        <v>9.6000000000000009E-3</v>
      </c>
      <c r="AC7" s="55">
        <f t="shared" si="3"/>
        <v>1.2800000000000001E-2</v>
      </c>
      <c r="AD7" s="55">
        <f t="shared" si="3"/>
        <v>1.4800000000000001E-2</v>
      </c>
      <c r="AE7" s="22">
        <v>1.37342465753425E-2</v>
      </c>
      <c r="AF7" s="22">
        <v>210</v>
      </c>
      <c r="AG7" s="22">
        <v>480</v>
      </c>
      <c r="AH7" s="22">
        <v>0.05</v>
      </c>
      <c r="AI7" s="22">
        <v>50.457809694793497</v>
      </c>
      <c r="AJ7" s="24">
        <v>15</v>
      </c>
      <c r="AK7" s="24">
        <v>210</v>
      </c>
    </row>
    <row r="8" spans="1:37" x14ac:dyDescent="0.25">
      <c r="A8" s="23" t="s">
        <v>18</v>
      </c>
      <c r="B8" s="24" t="s">
        <v>289</v>
      </c>
      <c r="C8" s="24"/>
      <c r="D8" s="22">
        <v>1.1914E-12</v>
      </c>
      <c r="E8" s="22">
        <v>7.1780000000000003E-13</v>
      </c>
      <c r="F8" s="22">
        <v>5.4294850800000002E-7</v>
      </c>
      <c r="G8" s="22">
        <v>7.4000000000000003E-11</v>
      </c>
      <c r="H8" s="22">
        <v>5.0689999999999999E-13</v>
      </c>
      <c r="I8" s="22">
        <v>3.1709000000000002E-13</v>
      </c>
      <c r="J8" s="22">
        <v>5.3243982719999998E-10</v>
      </c>
      <c r="K8" s="22">
        <v>1.2026601359999999E-7</v>
      </c>
      <c r="L8" s="22">
        <v>1.1559548879999999E-12</v>
      </c>
      <c r="M8" s="22">
        <v>1.1769722496E-7</v>
      </c>
      <c r="N8" s="22">
        <v>3.2880494591999999E-7</v>
      </c>
      <c r="O8" s="22">
        <v>4.9741089120000005E-7</v>
      </c>
      <c r="P8" s="68">
        <v>0.88690476190476197</v>
      </c>
      <c r="Q8" s="68">
        <v>0.97311827956989205</v>
      </c>
      <c r="R8" s="68">
        <v>0.93904761904761902</v>
      </c>
      <c r="S8" s="68">
        <v>0.93809523809523798</v>
      </c>
      <c r="T8" s="68">
        <v>0.89295774647887305</v>
      </c>
      <c r="U8" s="68">
        <v>0.02</v>
      </c>
      <c r="V8" s="68">
        <v>6.2E-2</v>
      </c>
      <c r="W8" s="68">
        <v>3.5000000000000003E-2</v>
      </c>
      <c r="X8" s="68">
        <v>4.8000000000000001E-2</v>
      </c>
      <c r="Y8" s="68">
        <v>5.5E-2</v>
      </c>
      <c r="Z8" s="55">
        <f t="shared" si="3"/>
        <v>8.0000000000000002E-3</v>
      </c>
      <c r="AA8" s="55">
        <f t="shared" si="3"/>
        <v>2.4800000000000003E-2</v>
      </c>
      <c r="AB8" s="55">
        <f t="shared" si="3"/>
        <v>1.4000000000000002E-2</v>
      </c>
      <c r="AC8" s="55">
        <f t="shared" si="3"/>
        <v>1.9200000000000002E-2</v>
      </c>
      <c r="AD8" s="55">
        <f t="shared" si="3"/>
        <v>2.2000000000000002E-2</v>
      </c>
      <c r="AE8" s="22">
        <v>8.6738964992389594E-5</v>
      </c>
      <c r="AF8" s="22">
        <v>213</v>
      </c>
      <c r="AG8" s="22">
        <v>480</v>
      </c>
      <c r="AH8" s="22">
        <v>0.05</v>
      </c>
      <c r="AI8" s="22">
        <v>7989.4889230094304</v>
      </c>
      <c r="AJ8" s="24">
        <v>15</v>
      </c>
      <c r="AK8" s="24">
        <v>213</v>
      </c>
    </row>
    <row r="9" spans="1:37" x14ac:dyDescent="0.25">
      <c r="A9" s="23" t="s">
        <v>19</v>
      </c>
      <c r="B9" s="24" t="s">
        <v>289</v>
      </c>
      <c r="C9" s="24"/>
      <c r="D9" s="22">
        <v>4.0330000000000001E-13</v>
      </c>
      <c r="E9" s="22">
        <v>2.6529000000000002E-13</v>
      </c>
      <c r="F9" s="22">
        <v>7.3444002480000004E-6</v>
      </c>
      <c r="G9" s="22">
        <v>6.1799999999999996E-11</v>
      </c>
      <c r="H9" s="22">
        <v>1.9202999999999999E-13</v>
      </c>
      <c r="I9" s="22">
        <v>1.4726E-13</v>
      </c>
      <c r="J9" s="22">
        <v>6.6905267759999996E-9</v>
      </c>
      <c r="K9" s="22">
        <v>1.2843943200000001E-6</v>
      </c>
      <c r="L9" s="22">
        <v>1.4478626879999999E-11</v>
      </c>
      <c r="M9" s="22">
        <v>1.3264290432000001E-6</v>
      </c>
      <c r="N9" s="22">
        <v>3.8111482368000001E-6</v>
      </c>
      <c r="O9" s="22">
        <v>6.1417401119999998E-6</v>
      </c>
      <c r="P9" s="68">
        <v>0.86585365853658502</v>
      </c>
      <c r="Q9" s="68">
        <v>0.94236311239193105</v>
      </c>
      <c r="R9" s="68">
        <v>0.934579439252336</v>
      </c>
      <c r="S9" s="68">
        <v>0.94453004622496095</v>
      </c>
      <c r="T9" s="68">
        <v>0.9375</v>
      </c>
      <c r="U9" s="68">
        <v>3.9E-2</v>
      </c>
      <c r="V9" s="68">
        <v>0.13</v>
      </c>
      <c r="W9" s="68">
        <v>6.4000000000000001E-2</v>
      </c>
      <c r="X9" s="68">
        <v>0.09</v>
      </c>
      <c r="Y9" s="68">
        <v>0.11</v>
      </c>
      <c r="Z9" s="55">
        <f t="shared" si="3"/>
        <v>1.5600000000000001E-2</v>
      </c>
      <c r="AA9" s="55">
        <f t="shared" si="3"/>
        <v>5.2000000000000005E-2</v>
      </c>
      <c r="AB9" s="55">
        <f t="shared" si="3"/>
        <v>2.5600000000000001E-2</v>
      </c>
      <c r="AC9" s="55">
        <f t="shared" si="3"/>
        <v>3.5999999999999997E-2</v>
      </c>
      <c r="AD9" s="55">
        <f t="shared" si="3"/>
        <v>4.4000000000000004E-2</v>
      </c>
      <c r="AE9" s="22">
        <v>3.7861491628614902E-5</v>
      </c>
      <c r="AF9" s="22">
        <v>214</v>
      </c>
      <c r="AG9" s="22">
        <v>480</v>
      </c>
      <c r="AH9" s="22">
        <v>0.05</v>
      </c>
      <c r="AI9" s="22">
        <v>18303.557788944701</v>
      </c>
      <c r="AJ9" s="24">
        <v>15</v>
      </c>
      <c r="AK9" s="24">
        <v>214</v>
      </c>
    </row>
    <row r="10" spans="1:37" x14ac:dyDescent="0.25">
      <c r="A10" s="25" t="s">
        <v>20</v>
      </c>
      <c r="B10" s="24" t="s">
        <v>275</v>
      </c>
      <c r="C10" s="24"/>
      <c r="D10" s="22">
        <v>4.2549999999999998E-11</v>
      </c>
      <c r="E10" s="22">
        <v>3.7370000000000003E-11</v>
      </c>
      <c r="F10" s="22">
        <v>5.5228955760000004E-10</v>
      </c>
      <c r="G10" s="22">
        <v>1.1248E-10</v>
      </c>
      <c r="H10" s="22">
        <v>3.0487999999999999E-11</v>
      </c>
      <c r="I10" s="22">
        <v>3.1782999999999999E-11</v>
      </c>
      <c r="J10" s="22">
        <v>1.6230073680000001E-12</v>
      </c>
      <c r="K10" s="22">
        <v>5.5345718879999995E-10</v>
      </c>
      <c r="L10" s="22">
        <v>2.2418519040000001E-15</v>
      </c>
      <c r="M10" s="22">
        <v>1.9242562176E-10</v>
      </c>
      <c r="N10" s="22">
        <v>4.2408365184000002E-10</v>
      </c>
      <c r="O10" s="22">
        <v>5.4178087679999995E-10</v>
      </c>
      <c r="P10" s="68">
        <v>0.90521327014218</v>
      </c>
      <c r="Q10" s="68">
        <v>0.85365853658536595</v>
      </c>
      <c r="R10" s="68">
        <v>0.91304347826086996</v>
      </c>
      <c r="S10" s="68">
        <v>0.92797118847538995</v>
      </c>
      <c r="T10" s="68">
        <v>0.87368421052631595</v>
      </c>
      <c r="U10" s="68">
        <v>2.7E-2</v>
      </c>
      <c r="V10" s="68">
        <v>7.4999999999999997E-2</v>
      </c>
      <c r="W10" s="68">
        <v>4.4999999999999998E-2</v>
      </c>
      <c r="X10" s="68">
        <v>6.2E-2</v>
      </c>
      <c r="Y10" s="68">
        <v>7.1999999999999995E-2</v>
      </c>
      <c r="Z10" s="55">
        <f t="shared" ref="Z10:AD10" si="4">0.4*U10</f>
        <v>1.0800000000000001E-2</v>
      </c>
      <c r="AA10" s="55">
        <f t="shared" si="4"/>
        <v>0.03</v>
      </c>
      <c r="AB10" s="55">
        <f t="shared" si="4"/>
        <v>1.7999999999999999E-2</v>
      </c>
      <c r="AC10" s="55">
        <f t="shared" si="4"/>
        <v>2.4800000000000003E-2</v>
      </c>
      <c r="AD10" s="55">
        <f t="shared" si="4"/>
        <v>2.8799999999999999E-2</v>
      </c>
      <c r="AE10" s="22">
        <v>30.167100000000001</v>
      </c>
      <c r="AF10" s="22">
        <v>137</v>
      </c>
      <c r="AG10" s="22">
        <v>10</v>
      </c>
      <c r="AH10" s="22">
        <v>1</v>
      </c>
      <c r="AI10" s="22">
        <v>2.2972045705420802E-2</v>
      </c>
      <c r="AJ10" s="24">
        <v>200</v>
      </c>
      <c r="AK10" s="24">
        <v>137</v>
      </c>
    </row>
    <row r="11" spans="1:37" x14ac:dyDescent="0.25">
      <c r="A11" s="23" t="s">
        <v>21</v>
      </c>
      <c r="B11" s="24" t="s">
        <v>289</v>
      </c>
      <c r="C11" s="24"/>
      <c r="D11" s="22">
        <v>0</v>
      </c>
      <c r="E11" s="22">
        <v>0</v>
      </c>
      <c r="F11" s="22">
        <v>1.0485328176E-7</v>
      </c>
      <c r="G11" s="22">
        <v>0</v>
      </c>
      <c r="H11" s="22">
        <v>0</v>
      </c>
      <c r="I11" s="22">
        <v>0</v>
      </c>
      <c r="J11" s="22">
        <v>1.1524519944E-10</v>
      </c>
      <c r="K11" s="22">
        <v>2.5220833919999999E-8</v>
      </c>
      <c r="L11" s="22">
        <v>2.5337597040000002E-13</v>
      </c>
      <c r="M11" s="22">
        <v>2.5594475903999999E-8</v>
      </c>
      <c r="N11" s="22">
        <v>7.0618334975999998E-8</v>
      </c>
      <c r="O11" s="22">
        <v>1.010000988E-7</v>
      </c>
      <c r="P11" s="68">
        <v>0.92753623188405798</v>
      </c>
      <c r="Q11" s="68">
        <v>0.82352941176470595</v>
      </c>
      <c r="R11" s="68">
        <v>0.890625</v>
      </c>
      <c r="S11" s="68">
        <v>0.908496732026144</v>
      </c>
      <c r="T11" s="68">
        <v>0.88038277511961704</v>
      </c>
      <c r="U11" s="68">
        <v>9.7999999999999997E-3</v>
      </c>
      <c r="V11" s="68">
        <v>2.5999999999999999E-2</v>
      </c>
      <c r="W11" s="68">
        <v>1.9E-2</v>
      </c>
      <c r="X11" s="68">
        <v>2.4E-2</v>
      </c>
      <c r="Y11" s="68">
        <v>2.5999999999999999E-2</v>
      </c>
      <c r="Z11" s="55">
        <f t="shared" ref="Z11:AD11" si="5">0.4*U11</f>
        <v>3.9199999999999999E-3</v>
      </c>
      <c r="AA11" s="55">
        <f t="shared" si="5"/>
        <v>1.04E-2</v>
      </c>
      <c r="AB11" s="55">
        <f t="shared" si="5"/>
        <v>7.6E-3</v>
      </c>
      <c r="AC11" s="55">
        <f t="shared" si="5"/>
        <v>9.6000000000000009E-3</v>
      </c>
      <c r="AD11" s="55">
        <f t="shared" si="5"/>
        <v>1.04E-2</v>
      </c>
      <c r="AE11" s="22">
        <v>9.3226788432267907E-6</v>
      </c>
      <c r="AF11" s="22">
        <v>221</v>
      </c>
      <c r="AG11" s="22">
        <v>250</v>
      </c>
      <c r="AH11" s="22"/>
      <c r="AI11" s="22">
        <v>74334.857142857101</v>
      </c>
      <c r="AJ11" s="24">
        <v>15</v>
      </c>
      <c r="AK11" s="24">
        <v>221</v>
      </c>
    </row>
    <row r="12" spans="1:37" x14ac:dyDescent="0.25">
      <c r="A12" s="23" t="s">
        <v>22</v>
      </c>
      <c r="B12" s="24" t="s">
        <v>289</v>
      </c>
      <c r="C12" s="24"/>
      <c r="D12" s="22">
        <v>0</v>
      </c>
      <c r="E12" s="22">
        <v>0</v>
      </c>
      <c r="F12" s="22">
        <v>4.8339931680000002E-7</v>
      </c>
      <c r="G12" s="22">
        <v>0</v>
      </c>
      <c r="H12" s="22">
        <v>0</v>
      </c>
      <c r="I12" s="22">
        <v>0</v>
      </c>
      <c r="J12" s="22">
        <v>4.9624325999999998E-10</v>
      </c>
      <c r="K12" s="22">
        <v>1.1174230584E-7</v>
      </c>
      <c r="L12" s="22">
        <v>1.08005886E-12</v>
      </c>
      <c r="M12" s="22">
        <v>1.0985074329599999E-7</v>
      </c>
      <c r="N12" s="22">
        <v>3.0638642687999998E-7</v>
      </c>
      <c r="O12" s="22">
        <v>4.5187327439999998E-7</v>
      </c>
      <c r="P12" s="68">
        <v>0.90184049079754602</v>
      </c>
      <c r="Q12" s="68">
        <v>0.89376053962900504</v>
      </c>
      <c r="R12" s="68">
        <v>0.92254901960784297</v>
      </c>
      <c r="S12" s="68">
        <v>0.92845528455284598</v>
      </c>
      <c r="T12" s="68">
        <v>0.88405797101449302</v>
      </c>
      <c r="U12" s="68">
        <v>1.6E-2</v>
      </c>
      <c r="V12" s="68">
        <v>0.05</v>
      </c>
      <c r="W12" s="68">
        <v>2.7E-2</v>
      </c>
      <c r="X12" s="68">
        <v>3.6999999999999998E-2</v>
      </c>
      <c r="Y12" s="68">
        <v>4.3999999999999997E-2</v>
      </c>
      <c r="Z12" s="55">
        <f t="shared" ref="Z12:AD12" si="6">0.4*U12</f>
        <v>6.4000000000000003E-3</v>
      </c>
      <c r="AA12" s="55">
        <f t="shared" si="6"/>
        <v>2.0000000000000004E-2</v>
      </c>
      <c r="AB12" s="55">
        <f t="shared" si="6"/>
        <v>1.0800000000000001E-2</v>
      </c>
      <c r="AC12" s="55">
        <f t="shared" si="6"/>
        <v>1.4800000000000001E-2</v>
      </c>
      <c r="AD12" s="55">
        <f t="shared" si="6"/>
        <v>1.7600000000000001E-2</v>
      </c>
      <c r="AE12" s="22">
        <v>1.5506088280060901E-5</v>
      </c>
      <c r="AF12" s="22">
        <v>206</v>
      </c>
      <c r="AG12" s="22">
        <v>6300</v>
      </c>
      <c r="AH12" s="22"/>
      <c r="AI12" s="22">
        <v>44692.122699386498</v>
      </c>
      <c r="AJ12" s="24"/>
      <c r="AK12" s="24">
        <v>206</v>
      </c>
    </row>
    <row r="13" spans="1:37" x14ac:dyDescent="0.25">
      <c r="A13" s="23" t="s">
        <v>23</v>
      </c>
      <c r="B13" s="24" t="s">
        <v>289</v>
      </c>
      <c r="C13" s="24"/>
      <c r="D13" s="22">
        <v>1.2469000000000001E-10</v>
      </c>
      <c r="E13" s="22">
        <v>8.2880000000000002E-11</v>
      </c>
      <c r="F13" s="22">
        <v>5.172606216E-8</v>
      </c>
      <c r="G13" s="22">
        <v>2.8675E-8</v>
      </c>
      <c r="H13" s="22">
        <v>6.2159999999999995E-11</v>
      </c>
      <c r="I13" s="22">
        <v>4.6989999999999997E-11</v>
      </c>
      <c r="J13" s="22">
        <v>7.6713369839999998E-11</v>
      </c>
      <c r="K13" s="22">
        <v>2.1017361600000002E-8</v>
      </c>
      <c r="L13" s="22">
        <v>1.716417864E-13</v>
      </c>
      <c r="M13" s="22">
        <v>1.7350999631999999E-8</v>
      </c>
      <c r="N13" s="22">
        <v>4.1287439231999997E-8</v>
      </c>
      <c r="O13" s="22">
        <v>5.1492535920000002E-8</v>
      </c>
      <c r="P13" s="68">
        <v>0.98969072164948502</v>
      </c>
      <c r="Q13" s="68">
        <v>0.98540145985401395</v>
      </c>
      <c r="R13" s="68">
        <v>0.95212765957446799</v>
      </c>
      <c r="S13" s="68">
        <v>0.93488372093023298</v>
      </c>
      <c r="T13" s="68">
        <v>0.93722466960352402</v>
      </c>
      <c r="U13" s="68">
        <v>2.7999999999999998E-4</v>
      </c>
      <c r="V13" s="68">
        <v>5.8999999999999999E-3</v>
      </c>
      <c r="W13" s="68">
        <v>2.8E-3</v>
      </c>
      <c r="X13" s="68">
        <v>4.7999999999999996E-3</v>
      </c>
      <c r="Y13" s="68">
        <v>5.7999999999999996E-3</v>
      </c>
      <c r="Z13" s="55">
        <f t="shared" ref="Z13:AD13" si="7">0.4*U13</f>
        <v>1.12E-4</v>
      </c>
      <c r="AA13" s="55">
        <f t="shared" si="7"/>
        <v>2.3600000000000001E-3</v>
      </c>
      <c r="AB13" s="55">
        <f t="shared" si="7"/>
        <v>1.1200000000000001E-3</v>
      </c>
      <c r="AC13" s="55">
        <f t="shared" si="7"/>
        <v>1.9199999999999998E-3</v>
      </c>
      <c r="AD13" s="55">
        <f t="shared" si="7"/>
        <v>2.32E-3</v>
      </c>
      <c r="AE13" s="22">
        <v>2144000</v>
      </c>
      <c r="AF13" s="22">
        <v>237</v>
      </c>
      <c r="AG13" s="22">
        <v>0.2</v>
      </c>
      <c r="AH13" s="22">
        <v>5.0000000000000001E-4</v>
      </c>
      <c r="AI13" s="22">
        <v>3.2322761194029798E-7</v>
      </c>
      <c r="AJ13" s="24">
        <v>15</v>
      </c>
      <c r="AK13" s="24">
        <v>237</v>
      </c>
    </row>
    <row r="14" spans="1:37" x14ac:dyDescent="0.25">
      <c r="A14" s="23" t="s">
        <v>24</v>
      </c>
      <c r="B14" s="24" t="s">
        <v>289</v>
      </c>
      <c r="C14" s="24"/>
      <c r="D14" s="22">
        <v>1.6465000000000001E-11</v>
      </c>
      <c r="E14" s="22">
        <v>8.9539999999999992E-12</v>
      </c>
      <c r="F14" s="22">
        <v>8.0333026560000001E-7</v>
      </c>
      <c r="G14" s="22">
        <v>1.5281E-11</v>
      </c>
      <c r="H14" s="22">
        <v>6.1420000000000003E-12</v>
      </c>
      <c r="I14" s="22">
        <v>2.5825999999999999E-12</v>
      </c>
      <c r="J14" s="22">
        <v>8.5353840720000002E-10</v>
      </c>
      <c r="K14" s="22">
        <v>1.879886232E-7</v>
      </c>
      <c r="L14" s="22">
        <v>1.8682099199999999E-12</v>
      </c>
      <c r="M14" s="22">
        <v>1.9055741183999999E-7</v>
      </c>
      <c r="N14" s="22">
        <v>5.2309877760000005E-7</v>
      </c>
      <c r="O14" s="22">
        <v>7.601279112E-7</v>
      </c>
      <c r="P14" s="68">
        <v>0.93203883495145601</v>
      </c>
      <c r="Q14" s="68">
        <v>0.922115384615385</v>
      </c>
      <c r="R14" s="68">
        <v>0.92718446601941695</v>
      </c>
      <c r="S14" s="68">
        <v>0.93043478260869505</v>
      </c>
      <c r="T14" s="68">
        <v>0.88959999999999995</v>
      </c>
      <c r="U14" s="68">
        <v>8.2000000000000007E-3</v>
      </c>
      <c r="V14" s="68">
        <v>4.2000000000000003E-2</v>
      </c>
      <c r="W14" s="68">
        <v>2.3E-2</v>
      </c>
      <c r="X14" s="68">
        <v>3.1E-2</v>
      </c>
      <c r="Y14" s="68">
        <v>3.6999999999999998E-2</v>
      </c>
      <c r="Z14" s="55">
        <f t="shared" ref="Z14:AD17" si="8">0.4*U14</f>
        <v>3.2800000000000004E-3</v>
      </c>
      <c r="AA14" s="55">
        <f t="shared" si="8"/>
        <v>1.6800000000000002E-2</v>
      </c>
      <c r="AB14" s="55">
        <f t="shared" si="8"/>
        <v>9.1999999999999998E-3</v>
      </c>
      <c r="AC14" s="55">
        <f t="shared" si="8"/>
        <v>1.2400000000000001E-2</v>
      </c>
      <c r="AD14" s="55">
        <f t="shared" si="8"/>
        <v>1.4800000000000001E-2</v>
      </c>
      <c r="AE14" s="22">
        <v>7.3882191780821893E-2</v>
      </c>
      <c r="AF14" s="22">
        <v>233</v>
      </c>
      <c r="AG14" s="22">
        <v>2000</v>
      </c>
      <c r="AH14" s="22">
        <v>5.0000000000000001E-4</v>
      </c>
      <c r="AI14" s="22">
        <v>9.3797975303148302</v>
      </c>
      <c r="AJ14" s="24">
        <v>300</v>
      </c>
      <c r="AK14" s="24">
        <v>233</v>
      </c>
    </row>
    <row r="15" spans="1:37" x14ac:dyDescent="0.25">
      <c r="A15" s="23" t="s">
        <v>25</v>
      </c>
      <c r="B15" s="24" t="s">
        <v>289</v>
      </c>
      <c r="C15" s="24"/>
      <c r="D15" s="22">
        <v>6.2529999999999997E-13</v>
      </c>
      <c r="E15" s="22">
        <v>3.4854E-13</v>
      </c>
      <c r="F15" s="22">
        <v>5.3711035200000002E-10</v>
      </c>
      <c r="G15" s="22">
        <v>2.0794E-13</v>
      </c>
      <c r="H15" s="22">
        <v>2.4087000000000001E-13</v>
      </c>
      <c r="I15" s="22">
        <v>1.221E-13</v>
      </c>
      <c r="J15" s="22">
        <v>1.7047415520000001E-12</v>
      </c>
      <c r="K15" s="22">
        <v>5.6513350080000005E-10</v>
      </c>
      <c r="L15" s="22">
        <v>2.323586088E-15</v>
      </c>
      <c r="M15" s="22">
        <v>1.8425220336000001E-10</v>
      </c>
      <c r="N15" s="22">
        <v>4.1661081215999999E-10</v>
      </c>
      <c r="O15" s="22">
        <v>5.2893693360000005E-10</v>
      </c>
      <c r="P15" s="68">
        <v>0.9</v>
      </c>
      <c r="Q15" s="68">
        <v>0.9</v>
      </c>
      <c r="R15" s="68">
        <v>0.9</v>
      </c>
      <c r="S15" s="68">
        <v>0.9</v>
      </c>
      <c r="T15" s="68">
        <v>0.9</v>
      </c>
      <c r="U15" s="68">
        <v>0</v>
      </c>
      <c r="V15" s="68">
        <v>0</v>
      </c>
      <c r="W15" s="68">
        <v>0</v>
      </c>
      <c r="X15" s="68">
        <v>0</v>
      </c>
      <c r="Y15" s="68">
        <v>0</v>
      </c>
      <c r="Z15" s="55">
        <f t="shared" si="8"/>
        <v>0</v>
      </c>
      <c r="AA15" s="55">
        <f t="shared" si="8"/>
        <v>0</v>
      </c>
      <c r="AB15" s="55">
        <f t="shared" si="8"/>
        <v>0</v>
      </c>
      <c r="AC15" s="55">
        <f t="shared" si="8"/>
        <v>0</v>
      </c>
      <c r="AD15" s="55">
        <f t="shared" si="8"/>
        <v>0</v>
      </c>
      <c r="AE15" s="22">
        <v>3.7134703196347002E-4</v>
      </c>
      <c r="AF15" s="22">
        <v>209</v>
      </c>
      <c r="AG15" s="22">
        <v>150</v>
      </c>
      <c r="AH15" s="22">
        <v>0.2</v>
      </c>
      <c r="AI15" s="22">
        <v>1866.1789117737501</v>
      </c>
      <c r="AJ15" s="24"/>
      <c r="AK15" s="24">
        <v>209</v>
      </c>
    </row>
    <row r="16" spans="1:37" x14ac:dyDescent="0.25">
      <c r="A16" s="23" t="s">
        <v>26</v>
      </c>
      <c r="B16" s="24" t="s">
        <v>289</v>
      </c>
      <c r="C16" s="24"/>
      <c r="D16" s="22">
        <v>1.7167999999999999E-9</v>
      </c>
      <c r="E16" s="22">
        <v>1.1766000000000001E-9</v>
      </c>
      <c r="F16" s="22">
        <v>1.482891624E-9</v>
      </c>
      <c r="G16" s="22">
        <v>1.5872999999999999E-8</v>
      </c>
      <c r="H16" s="22">
        <v>8.8430000000000004E-10</v>
      </c>
      <c r="I16" s="22">
        <v>5.9940000000000002E-10</v>
      </c>
      <c r="J16" s="22">
        <v>3.9349171439999997E-12</v>
      </c>
      <c r="K16" s="22">
        <v>1.7164178639999999E-9</v>
      </c>
      <c r="L16" s="22">
        <v>9.0841707359999996E-15</v>
      </c>
      <c r="M16" s="22">
        <v>9.5278705920000003E-10</v>
      </c>
      <c r="N16" s="22">
        <v>1.4665447872000001E-9</v>
      </c>
      <c r="O16" s="22">
        <v>1.482891624E-9</v>
      </c>
      <c r="P16" s="68">
        <v>1</v>
      </c>
      <c r="Q16" s="68">
        <v>0.94642857142857095</v>
      </c>
      <c r="R16" s="68">
        <v>0.97425742574257401</v>
      </c>
      <c r="S16" s="68">
        <v>0.94932432432432401</v>
      </c>
      <c r="T16" s="68">
        <v>0.94444444444444398</v>
      </c>
      <c r="U16" s="68">
        <v>9.9999999999999995E-8</v>
      </c>
      <c r="V16" s="68">
        <v>4.4000000000000002E-6</v>
      </c>
      <c r="W16" s="68">
        <v>2.3999999999999999E-6</v>
      </c>
      <c r="X16" s="68">
        <v>4.0999999999999997E-6</v>
      </c>
      <c r="Y16" s="68">
        <v>4.0999999999999997E-6</v>
      </c>
      <c r="Z16" s="55">
        <f t="shared" si="8"/>
        <v>4.0000000000000001E-8</v>
      </c>
      <c r="AA16" s="55">
        <f t="shared" si="8"/>
        <v>1.7600000000000001E-6</v>
      </c>
      <c r="AB16" s="55">
        <f t="shared" si="8"/>
        <v>9.5999999999999991E-7</v>
      </c>
      <c r="AC16" s="55">
        <f t="shared" si="8"/>
        <v>1.64E-6</v>
      </c>
      <c r="AD16" s="55">
        <f t="shared" si="8"/>
        <v>1.64E-6</v>
      </c>
      <c r="AE16" s="22">
        <v>22.2</v>
      </c>
      <c r="AF16" s="22">
        <v>210</v>
      </c>
      <c r="AG16" s="22">
        <v>150</v>
      </c>
      <c r="AH16" s="22">
        <v>0.2</v>
      </c>
      <c r="AI16" s="22">
        <v>3.1216216216216199E-2</v>
      </c>
      <c r="AJ16" s="24"/>
      <c r="AK16" s="24">
        <v>210</v>
      </c>
    </row>
    <row r="17" spans="1:37" x14ac:dyDescent="0.25">
      <c r="A17" s="23" t="s">
        <v>27</v>
      </c>
      <c r="B17" s="24" t="s">
        <v>289</v>
      </c>
      <c r="C17" s="24"/>
      <c r="D17" s="22">
        <v>7.9180000000000002E-13</v>
      </c>
      <c r="E17" s="22">
        <v>4.8470000000000005E-13</v>
      </c>
      <c r="F17" s="22">
        <v>9.9365415120000007E-7</v>
      </c>
      <c r="G17" s="22">
        <v>7.7700000000000001E-11</v>
      </c>
      <c r="H17" s="22">
        <v>3.4447E-13</v>
      </c>
      <c r="I17" s="22">
        <v>2.2052E-13</v>
      </c>
      <c r="J17" s="22">
        <v>1.0193420376000001E-9</v>
      </c>
      <c r="K17" s="22">
        <v>2.230175592E-7</v>
      </c>
      <c r="L17" s="22">
        <v>2.2301755919999998E-12</v>
      </c>
      <c r="M17" s="22">
        <v>2.2605340032000001E-7</v>
      </c>
      <c r="N17" s="22">
        <v>6.2958674304000002E-7</v>
      </c>
      <c r="O17" s="22">
        <v>9.3060206639999999E-7</v>
      </c>
      <c r="P17" s="68">
        <v>0.901685393258427</v>
      </c>
      <c r="Q17" s="68">
        <v>0.92436974789916004</v>
      </c>
      <c r="R17" s="68">
        <v>0.92558139534883699</v>
      </c>
      <c r="S17" s="68">
        <v>0.9296875</v>
      </c>
      <c r="T17" s="68">
        <v>0.87916666666666698</v>
      </c>
      <c r="U17" s="68">
        <v>1.4999999999999999E-2</v>
      </c>
      <c r="V17" s="68">
        <v>4.9000000000000002E-2</v>
      </c>
      <c r="W17" s="68">
        <v>2.8000000000000001E-2</v>
      </c>
      <c r="X17" s="68">
        <v>3.6999999999999998E-2</v>
      </c>
      <c r="Y17" s="68">
        <v>4.3999999999999997E-2</v>
      </c>
      <c r="Z17" s="55">
        <f t="shared" si="8"/>
        <v>6.0000000000000001E-3</v>
      </c>
      <c r="AA17" s="55">
        <f t="shared" si="8"/>
        <v>1.9600000000000003E-2</v>
      </c>
      <c r="AB17" s="55">
        <f t="shared" si="8"/>
        <v>1.1200000000000002E-2</v>
      </c>
      <c r="AC17" s="55">
        <f t="shared" si="8"/>
        <v>1.4800000000000001E-2</v>
      </c>
      <c r="AD17" s="55">
        <f t="shared" si="8"/>
        <v>1.7600000000000001E-2</v>
      </c>
      <c r="AE17" s="22">
        <v>5.0989345509893397E-5</v>
      </c>
      <c r="AF17" s="22">
        <v>214</v>
      </c>
      <c r="AG17" s="22">
        <v>150</v>
      </c>
      <c r="AH17" s="22">
        <v>0.2</v>
      </c>
      <c r="AI17" s="22">
        <v>13591.0746268657</v>
      </c>
      <c r="AJ17" s="24"/>
      <c r="AK17" s="24">
        <v>214</v>
      </c>
    </row>
    <row r="18" spans="1:37" x14ac:dyDescent="0.25">
      <c r="A18" s="23" t="s">
        <v>28</v>
      </c>
      <c r="B18" s="24" t="s">
        <v>289</v>
      </c>
      <c r="C18" s="24"/>
      <c r="D18" s="22">
        <v>3.2744999999999998E-9</v>
      </c>
      <c r="E18" s="22">
        <v>2.2533000000000001E-9</v>
      </c>
      <c r="F18" s="22">
        <v>4.5070564319999998E-11</v>
      </c>
      <c r="G18" s="22">
        <v>1.4504E-8</v>
      </c>
      <c r="H18" s="22">
        <v>1.7760000000000001E-9</v>
      </c>
      <c r="I18" s="22">
        <v>1.4356000000000001E-9</v>
      </c>
      <c r="J18" s="22">
        <v>4.1801196960000001E-14</v>
      </c>
      <c r="K18" s="22">
        <v>8.69885244E-12</v>
      </c>
      <c r="L18" s="22">
        <v>9.0724944239999998E-17</v>
      </c>
      <c r="M18" s="22">
        <v>8.9487255167999993E-12</v>
      </c>
      <c r="N18" s="22">
        <v>2.5407654911999999E-11</v>
      </c>
      <c r="O18" s="22">
        <v>3.9582697679999998E-11</v>
      </c>
      <c r="P18" s="68">
        <v>0.88135593220339004</v>
      </c>
      <c r="Q18" s="68">
        <v>0.93612334801762098</v>
      </c>
      <c r="R18" s="68">
        <v>0.93633952254641895</v>
      </c>
      <c r="S18" s="68">
        <v>0.93013100436681195</v>
      </c>
      <c r="T18" s="68">
        <v>0.94466403162055301</v>
      </c>
      <c r="U18" s="68">
        <v>0.03</v>
      </c>
      <c r="V18" s="68">
        <v>9.5000000000000001E-2</v>
      </c>
      <c r="W18" s="68">
        <v>4.8000000000000001E-2</v>
      </c>
      <c r="X18" s="68">
        <v>6.9000000000000006E-2</v>
      </c>
      <c r="Y18" s="68">
        <v>8.2000000000000003E-2</v>
      </c>
      <c r="Z18" s="55">
        <f t="shared" ref="Z18:AD21" si="9">0.4*U18</f>
        <v>1.2E-2</v>
      </c>
      <c r="AA18" s="55">
        <f t="shared" si="9"/>
        <v>3.8000000000000006E-2</v>
      </c>
      <c r="AB18" s="55">
        <f t="shared" si="9"/>
        <v>1.9200000000000002E-2</v>
      </c>
      <c r="AC18" s="55">
        <f t="shared" si="9"/>
        <v>2.7600000000000003E-2</v>
      </c>
      <c r="AD18" s="55">
        <f t="shared" si="9"/>
        <v>3.2800000000000003E-2</v>
      </c>
      <c r="AE18" s="22">
        <v>0.37911232876712297</v>
      </c>
      <c r="AF18" s="22">
        <v>210</v>
      </c>
      <c r="AG18" s="22">
        <v>210</v>
      </c>
      <c r="AH18" s="22"/>
      <c r="AI18" s="22">
        <v>1.8279542695265101</v>
      </c>
      <c r="AJ18" s="24">
        <v>15</v>
      </c>
      <c r="AK18" s="24">
        <v>210</v>
      </c>
    </row>
    <row r="19" spans="1:37" x14ac:dyDescent="0.25">
      <c r="A19" s="23" t="s">
        <v>29</v>
      </c>
      <c r="B19" s="24" t="s">
        <v>289</v>
      </c>
      <c r="C19" s="24"/>
      <c r="D19" s="22">
        <v>0</v>
      </c>
      <c r="E19" s="22">
        <v>0</v>
      </c>
      <c r="F19" s="22">
        <v>1.728094176E-10</v>
      </c>
      <c r="G19" s="22">
        <v>0</v>
      </c>
      <c r="H19" s="22">
        <v>0</v>
      </c>
      <c r="I19" s="22">
        <v>0</v>
      </c>
      <c r="J19" s="22">
        <v>1.6113310560000001E-13</v>
      </c>
      <c r="K19" s="22">
        <v>3.3627778560000003E-11</v>
      </c>
      <c r="L19" s="22">
        <v>3.491217288E-16</v>
      </c>
      <c r="M19" s="22">
        <v>3.4561883519999999E-11</v>
      </c>
      <c r="N19" s="22">
        <v>9.7333736831999999E-11</v>
      </c>
      <c r="O19" s="22">
        <v>1.51792056E-10</v>
      </c>
      <c r="P19" s="68">
        <v>0.87991266375545796</v>
      </c>
      <c r="Q19" s="68">
        <v>0.93714285714285706</v>
      </c>
      <c r="R19" s="68">
        <v>0.93493150684931503</v>
      </c>
      <c r="S19" s="68">
        <v>0.93220338983050799</v>
      </c>
      <c r="T19" s="68">
        <v>0.94871794871794901</v>
      </c>
      <c r="U19" s="68">
        <v>2.9000000000000001E-2</v>
      </c>
      <c r="V19" s="68">
        <v>9.2999999999999999E-2</v>
      </c>
      <c r="W19" s="68">
        <v>4.7E-2</v>
      </c>
      <c r="X19" s="68">
        <v>6.8000000000000005E-2</v>
      </c>
      <c r="Y19" s="68">
        <v>0.08</v>
      </c>
      <c r="Z19" s="55">
        <f t="shared" si="9"/>
        <v>1.1600000000000001E-2</v>
      </c>
      <c r="AA19" s="55">
        <f t="shared" si="9"/>
        <v>3.7200000000000004E-2</v>
      </c>
      <c r="AB19" s="55">
        <f t="shared" si="9"/>
        <v>1.8800000000000001E-2</v>
      </c>
      <c r="AC19" s="55">
        <f t="shared" si="9"/>
        <v>2.7200000000000002E-2</v>
      </c>
      <c r="AD19" s="55">
        <f t="shared" si="9"/>
        <v>3.2000000000000001E-2</v>
      </c>
      <c r="AE19" s="22">
        <v>1.3318112633181101E-13</v>
      </c>
      <c r="AF19" s="22">
        <v>213</v>
      </c>
      <c r="AG19" s="22">
        <v>210</v>
      </c>
      <c r="AH19" s="22"/>
      <c r="AI19" s="22">
        <v>5203440000000</v>
      </c>
      <c r="AJ19" s="24">
        <v>15</v>
      </c>
      <c r="AK19" s="24">
        <v>213</v>
      </c>
    </row>
    <row r="20" spans="1:37" x14ac:dyDescent="0.25">
      <c r="A20" s="23" t="s">
        <v>30</v>
      </c>
      <c r="B20" s="24" t="s">
        <v>289</v>
      </c>
      <c r="C20" s="24"/>
      <c r="D20" s="22">
        <v>0</v>
      </c>
      <c r="E20" s="22">
        <v>0</v>
      </c>
      <c r="F20" s="22">
        <v>3.8531829600000002E-10</v>
      </c>
      <c r="G20" s="22">
        <v>0</v>
      </c>
      <c r="H20" s="22">
        <v>0</v>
      </c>
      <c r="I20" s="22">
        <v>0</v>
      </c>
      <c r="J20" s="22">
        <v>3.5729514720000002E-13</v>
      </c>
      <c r="K20" s="22">
        <v>7.4261344320000001E-11</v>
      </c>
      <c r="L20" s="22">
        <v>7.741394856E-16</v>
      </c>
      <c r="M20" s="22">
        <v>7.6222964736000004E-11</v>
      </c>
      <c r="N20" s="22">
        <v>2.1484414079999999E-10</v>
      </c>
      <c r="O20" s="22">
        <v>3.3744541680000003E-10</v>
      </c>
      <c r="P20" s="68">
        <v>0.87920792079207899</v>
      </c>
      <c r="Q20" s="68">
        <v>0.93298969072164994</v>
      </c>
      <c r="R20" s="68">
        <v>0.93633540372670798</v>
      </c>
      <c r="S20" s="68">
        <v>0.930946291560102</v>
      </c>
      <c r="T20" s="68">
        <v>0.94444444444444398</v>
      </c>
      <c r="U20" s="68">
        <v>0.03</v>
      </c>
      <c r="V20" s="68">
        <v>9.5000000000000001E-2</v>
      </c>
      <c r="W20" s="68">
        <v>4.8000000000000001E-2</v>
      </c>
      <c r="X20" s="68">
        <v>6.9000000000000006E-2</v>
      </c>
      <c r="Y20" s="68">
        <v>8.1000000000000003E-2</v>
      </c>
      <c r="Z20" s="55">
        <f t="shared" si="9"/>
        <v>1.2E-2</v>
      </c>
      <c r="AA20" s="55">
        <f t="shared" si="9"/>
        <v>3.8000000000000006E-2</v>
      </c>
      <c r="AB20" s="55">
        <f t="shared" si="9"/>
        <v>1.9200000000000002E-2</v>
      </c>
      <c r="AC20" s="55">
        <f t="shared" si="9"/>
        <v>2.7600000000000003E-2</v>
      </c>
      <c r="AD20" s="55">
        <f t="shared" si="9"/>
        <v>3.2400000000000005E-2</v>
      </c>
      <c r="AE20" s="22">
        <v>5.20991882293252E-12</v>
      </c>
      <c r="AF20" s="22">
        <v>214</v>
      </c>
      <c r="AG20" s="22">
        <v>210</v>
      </c>
      <c r="AH20" s="22"/>
      <c r="AI20" s="22">
        <v>133015508216.677</v>
      </c>
      <c r="AJ20" s="24">
        <v>15</v>
      </c>
      <c r="AK20" s="24">
        <v>214</v>
      </c>
    </row>
    <row r="21" spans="1:37" x14ac:dyDescent="0.25">
      <c r="A21" s="23" t="s">
        <v>31</v>
      </c>
      <c r="B21" s="24" t="s">
        <v>289</v>
      </c>
      <c r="C21" s="24"/>
      <c r="D21" s="22">
        <v>0</v>
      </c>
      <c r="E21" s="22">
        <v>0</v>
      </c>
      <c r="F21" s="22">
        <v>6.8423188320000004E-15</v>
      </c>
      <c r="G21" s="22">
        <v>1.39E-11</v>
      </c>
      <c r="H21" s="22">
        <v>0</v>
      </c>
      <c r="I21" s="22">
        <v>0</v>
      </c>
      <c r="J21" s="22">
        <v>3.9465934560000001E-17</v>
      </c>
      <c r="K21" s="22">
        <v>5.3010456479999998E-15</v>
      </c>
      <c r="L21" s="22">
        <v>5.055843096E-20</v>
      </c>
      <c r="M21" s="22">
        <v>3.1572747648000001E-15</v>
      </c>
      <c r="N21" s="22">
        <v>5.9782717440000002E-15</v>
      </c>
      <c r="O21" s="22">
        <v>6.8189662079999997E-15</v>
      </c>
      <c r="P21" s="68">
        <v>0.9</v>
      </c>
      <c r="Q21" s="68">
        <v>0.9</v>
      </c>
      <c r="R21" s="68">
        <v>0.9</v>
      </c>
      <c r="S21" s="68">
        <v>0.9</v>
      </c>
      <c r="T21" s="68">
        <v>0.9</v>
      </c>
      <c r="U21" s="68">
        <v>0</v>
      </c>
      <c r="V21" s="68">
        <v>0</v>
      </c>
      <c r="W21" s="68">
        <v>0</v>
      </c>
      <c r="X21" s="68">
        <v>0</v>
      </c>
      <c r="Y21" s="68">
        <v>0</v>
      </c>
      <c r="Z21" s="55">
        <f t="shared" si="9"/>
        <v>0</v>
      </c>
      <c r="AA21" s="55">
        <f t="shared" si="9"/>
        <v>0</v>
      </c>
      <c r="AB21" s="55">
        <f t="shared" si="9"/>
        <v>0</v>
      </c>
      <c r="AC21" s="55">
        <f t="shared" si="9"/>
        <v>0</v>
      </c>
      <c r="AD21" s="55">
        <f t="shared" si="9"/>
        <v>0</v>
      </c>
      <c r="AE21" s="22">
        <v>5.8980213089802101E-6</v>
      </c>
      <c r="AF21" s="22">
        <v>218</v>
      </c>
      <c r="AG21" s="22">
        <v>210</v>
      </c>
      <c r="AH21" s="22"/>
      <c r="AI21" s="22">
        <v>117497.032258065</v>
      </c>
      <c r="AJ21" s="24">
        <v>15</v>
      </c>
      <c r="AK21" s="24">
        <v>218</v>
      </c>
    </row>
    <row r="22" spans="1:37" x14ac:dyDescent="0.25">
      <c r="A22" s="23" t="s">
        <v>32</v>
      </c>
      <c r="B22" s="24" t="s">
        <v>289</v>
      </c>
      <c r="C22" s="24"/>
      <c r="D22" s="22">
        <v>2.4235E-10</v>
      </c>
      <c r="E22" s="22">
        <v>1.5355E-10</v>
      </c>
      <c r="F22" s="22">
        <v>6.106711176E-9</v>
      </c>
      <c r="G22" s="22">
        <v>2.6159E-8</v>
      </c>
      <c r="H22" s="22">
        <v>1.1432999999999999E-10</v>
      </c>
      <c r="I22" s="22">
        <v>7.4369999999999998E-11</v>
      </c>
      <c r="J22" s="22">
        <v>1.844857296E-11</v>
      </c>
      <c r="K22" s="22">
        <v>8.8389681839999997E-9</v>
      </c>
      <c r="L22" s="22">
        <v>4.2385012559999998E-14</v>
      </c>
      <c r="M22" s="22">
        <v>4.4463396095999997E-9</v>
      </c>
      <c r="N22" s="22">
        <v>6.0716822400000003E-9</v>
      </c>
      <c r="O22" s="22">
        <v>6.0950348640000001E-9</v>
      </c>
      <c r="P22" s="68">
        <v>0.98748261474269805</v>
      </c>
      <c r="Q22" s="68">
        <v>0.86834733893557403</v>
      </c>
      <c r="R22" s="68">
        <v>0.98884758364312197</v>
      </c>
      <c r="S22" s="68">
        <v>0.95495495495495497</v>
      </c>
      <c r="T22" s="68">
        <v>0.95760598503740701</v>
      </c>
      <c r="U22" s="68">
        <v>4.1000000000000003E-9</v>
      </c>
      <c r="V22" s="68">
        <v>2.4E-8</v>
      </c>
      <c r="W22" s="68">
        <v>2.3000000000000001E-8</v>
      </c>
      <c r="X22" s="68">
        <v>3.1E-8</v>
      </c>
      <c r="Y22" s="68">
        <v>2.9999999999999997E-8</v>
      </c>
      <c r="Z22" s="55">
        <f t="shared" ref="Z22:AD23" si="10">0.4*U22</f>
        <v>1.6400000000000001E-9</v>
      </c>
      <c r="AA22" s="55">
        <f t="shared" si="10"/>
        <v>9.5999999999999999E-9</v>
      </c>
      <c r="AB22" s="55">
        <f t="shared" si="10"/>
        <v>9.2000000000000013E-9</v>
      </c>
      <c r="AC22" s="55">
        <f t="shared" si="10"/>
        <v>1.24E-8</v>
      </c>
      <c r="AD22" s="55">
        <f t="shared" si="10"/>
        <v>1.2E-8</v>
      </c>
      <c r="AE22" s="22">
        <v>4.0821917808219199E-2</v>
      </c>
      <c r="AF22" s="22">
        <v>225</v>
      </c>
      <c r="AG22" s="22">
        <v>1</v>
      </c>
      <c r="AH22" s="22">
        <v>0.2</v>
      </c>
      <c r="AI22" s="22">
        <v>16.976174496644301</v>
      </c>
      <c r="AJ22" s="24"/>
      <c r="AK22" s="24">
        <v>225</v>
      </c>
    </row>
    <row r="23" spans="1:37" x14ac:dyDescent="0.25">
      <c r="A23" s="25" t="s">
        <v>33</v>
      </c>
      <c r="B23" s="24" t="s">
        <v>275</v>
      </c>
      <c r="C23" s="24">
        <v>1</v>
      </c>
      <c r="D23" s="22">
        <v>6.7709999999999997E-10</v>
      </c>
      <c r="E23" s="22">
        <v>5.1429999999999997E-10</v>
      </c>
      <c r="F23" s="22">
        <v>2.4987307680000001E-8</v>
      </c>
      <c r="G23" s="22">
        <v>2.8156999999999999E-8</v>
      </c>
      <c r="H23" s="22">
        <v>3.8480000000000001E-10</v>
      </c>
      <c r="I23" s="22">
        <v>2.9451999999999998E-10</v>
      </c>
      <c r="J23" s="22">
        <v>2.849020128E-11</v>
      </c>
      <c r="K23" s="22">
        <v>6.2468269200000004E-9</v>
      </c>
      <c r="L23" s="22">
        <v>6.2701795440000005E-14</v>
      </c>
      <c r="M23" s="22">
        <v>6.3332316288000001E-9</v>
      </c>
      <c r="N23" s="22">
        <v>1.7315970695999999E-8</v>
      </c>
      <c r="O23" s="22">
        <v>2.4286728960000001E-8</v>
      </c>
      <c r="P23" s="68">
        <v>0.927927927927928</v>
      </c>
      <c r="Q23" s="68">
        <v>0.82729805013927604</v>
      </c>
      <c r="R23" s="68">
        <v>0.88145896656534894</v>
      </c>
      <c r="S23" s="68">
        <v>0.89258312020460395</v>
      </c>
      <c r="T23" s="68">
        <v>0.88349514563106801</v>
      </c>
      <c r="U23" s="68">
        <v>3.5000000000000003E-2</v>
      </c>
      <c r="V23" s="68">
        <v>0.11</v>
      </c>
      <c r="W23" s="68">
        <v>5.8000000000000003E-2</v>
      </c>
      <c r="X23" s="68">
        <v>8.1000000000000003E-2</v>
      </c>
      <c r="Y23" s="68">
        <v>0.1</v>
      </c>
      <c r="Z23" s="55">
        <f t="shared" si="10"/>
        <v>1.4000000000000002E-2</v>
      </c>
      <c r="AA23" s="55">
        <f t="shared" si="10"/>
        <v>4.4000000000000004E-2</v>
      </c>
      <c r="AB23" s="55">
        <f t="shared" si="10"/>
        <v>2.3200000000000002E-2</v>
      </c>
      <c r="AC23" s="55">
        <f t="shared" si="10"/>
        <v>3.2400000000000005E-2</v>
      </c>
      <c r="AD23" s="55">
        <f t="shared" si="10"/>
        <v>4.0000000000000008E-2</v>
      </c>
      <c r="AE23" s="22">
        <v>1600</v>
      </c>
      <c r="AF23" s="22">
        <v>226</v>
      </c>
      <c r="AG23" s="22">
        <v>1</v>
      </c>
      <c r="AH23" s="22">
        <v>0.2</v>
      </c>
      <c r="AI23" s="22">
        <v>4.3312500000000002E-4</v>
      </c>
      <c r="AJ23" s="24">
        <v>5</v>
      </c>
      <c r="AK23" s="24">
        <v>226</v>
      </c>
    </row>
    <row r="24" spans="1:37" x14ac:dyDescent="0.25">
      <c r="A24" s="23" t="s">
        <v>34</v>
      </c>
      <c r="B24" s="24" t="s">
        <v>289</v>
      </c>
      <c r="C24" s="24"/>
      <c r="D24" s="22">
        <v>0</v>
      </c>
      <c r="E24" s="22">
        <v>0</v>
      </c>
      <c r="F24" s="22">
        <v>3.3861304799999998E-9</v>
      </c>
      <c r="G24" s="22">
        <v>0</v>
      </c>
      <c r="H24" s="22">
        <v>0</v>
      </c>
      <c r="I24" s="22">
        <v>0</v>
      </c>
      <c r="J24" s="22">
        <v>3.187633176E-12</v>
      </c>
      <c r="K24" s="22">
        <v>6.807289896E-10</v>
      </c>
      <c r="L24" s="22">
        <v>6.9240530159999999E-15</v>
      </c>
      <c r="M24" s="22">
        <v>6.9684230016000005E-10</v>
      </c>
      <c r="N24" s="22">
        <v>1.9616204160000001E-9</v>
      </c>
      <c r="O24" s="22">
        <v>3.0358411200000002E-9</v>
      </c>
      <c r="P24" s="68">
        <v>0.886075949367089</v>
      </c>
      <c r="Q24" s="68">
        <v>0.91340782122904995</v>
      </c>
      <c r="R24" s="68">
        <v>0.93388429752066104</v>
      </c>
      <c r="S24" s="68">
        <v>0.91913746630727799</v>
      </c>
      <c r="T24" s="68">
        <v>0.95499999999999996</v>
      </c>
      <c r="U24" s="68">
        <v>2.5999999999999999E-2</v>
      </c>
      <c r="V24" s="68">
        <v>7.5999999999999998E-2</v>
      </c>
      <c r="W24" s="68">
        <v>4.1000000000000002E-2</v>
      </c>
      <c r="X24" s="68">
        <v>5.8999999999999997E-2</v>
      </c>
      <c r="Y24" s="68">
        <v>6.8000000000000005E-2</v>
      </c>
      <c r="Z24" s="55">
        <f t="shared" ref="Z24:AD25" si="11">0.4*U24</f>
        <v>1.04E-2</v>
      </c>
      <c r="AA24" s="55">
        <f t="shared" si="11"/>
        <v>3.04E-2</v>
      </c>
      <c r="AB24" s="55">
        <f t="shared" si="11"/>
        <v>1.6400000000000001E-2</v>
      </c>
      <c r="AC24" s="55">
        <f t="shared" si="11"/>
        <v>2.3599999999999999E-2</v>
      </c>
      <c r="AD24" s="55">
        <f t="shared" si="11"/>
        <v>2.7200000000000002E-2</v>
      </c>
      <c r="AE24" s="22">
        <v>1.1098427194317601E-9</v>
      </c>
      <c r="AF24" s="22">
        <v>218</v>
      </c>
      <c r="AG24" s="22">
        <v>0</v>
      </c>
      <c r="AH24" s="22"/>
      <c r="AI24" s="22">
        <v>624412800</v>
      </c>
      <c r="AJ24" s="24"/>
      <c r="AK24" s="24">
        <v>218</v>
      </c>
    </row>
    <row r="25" spans="1:37" x14ac:dyDescent="0.25">
      <c r="A25" s="25" t="s">
        <v>35</v>
      </c>
      <c r="B25" s="24" t="s">
        <v>275</v>
      </c>
      <c r="C25" s="24">
        <v>1</v>
      </c>
      <c r="D25" s="22">
        <v>0</v>
      </c>
      <c r="E25" s="22">
        <v>0</v>
      </c>
      <c r="F25" s="22">
        <v>1.6930652399999999E-9</v>
      </c>
      <c r="G25" s="44">
        <v>2.28E-12</v>
      </c>
      <c r="H25" s="22">
        <v>0</v>
      </c>
      <c r="I25" s="22">
        <v>0</v>
      </c>
      <c r="J25" s="22">
        <v>1.6230073680000001E-12</v>
      </c>
      <c r="K25" s="22">
        <v>3.5028935999999998E-10</v>
      </c>
      <c r="L25" s="22">
        <v>3.5145699120000001E-15</v>
      </c>
      <c r="M25" s="22">
        <v>3.5682809472000002E-10</v>
      </c>
      <c r="N25" s="22">
        <v>1.00696514688E-9</v>
      </c>
      <c r="O25" s="22">
        <v>1.5412731840000001E-9</v>
      </c>
      <c r="P25" s="68">
        <v>0.881287726358149</v>
      </c>
      <c r="Q25" s="68">
        <v>0.94318181818181801</v>
      </c>
      <c r="R25" s="68">
        <v>0.93949044585987296</v>
      </c>
      <c r="S25" s="68">
        <v>0.93193717277486898</v>
      </c>
      <c r="T25" s="68">
        <v>0.91981132075471705</v>
      </c>
      <c r="U25" s="68">
        <v>2.1999999999999999E-2</v>
      </c>
      <c r="V25" s="68">
        <v>6.6000000000000003E-2</v>
      </c>
      <c r="W25" s="68">
        <v>3.6999999999999998E-2</v>
      </c>
      <c r="X25" s="68">
        <v>5.1999999999999998E-2</v>
      </c>
      <c r="Y25" s="68">
        <v>5.8999999999999997E-2</v>
      </c>
      <c r="Z25" s="55">
        <f t="shared" si="11"/>
        <v>8.8000000000000005E-3</v>
      </c>
      <c r="AA25" s="55">
        <f t="shared" si="11"/>
        <v>2.6400000000000003E-2</v>
      </c>
      <c r="AB25" s="55">
        <f t="shared" si="11"/>
        <v>1.4800000000000001E-2</v>
      </c>
      <c r="AC25" s="55">
        <f t="shared" si="11"/>
        <v>2.0799999999999999E-2</v>
      </c>
      <c r="AD25" s="55">
        <f t="shared" si="11"/>
        <v>2.3599999999999999E-2</v>
      </c>
      <c r="AE25" s="22">
        <v>1.04753424657534E-2</v>
      </c>
      <c r="AF25" s="22">
        <v>222</v>
      </c>
      <c r="AG25" s="22">
        <v>0</v>
      </c>
      <c r="AH25" s="22"/>
      <c r="AI25" s="22">
        <v>66.155355041192607</v>
      </c>
      <c r="AJ25" s="24"/>
      <c r="AK25" s="24">
        <v>222</v>
      </c>
    </row>
    <row r="26" spans="1:37" x14ac:dyDescent="0.25">
      <c r="A26" s="23" t="s">
        <v>36</v>
      </c>
      <c r="B26" s="24" t="s">
        <v>289</v>
      </c>
      <c r="C26" s="24"/>
      <c r="D26" s="22">
        <v>3.8480000000000001E-10</v>
      </c>
      <c r="E26" s="22">
        <v>2.9045000000000002E-10</v>
      </c>
      <c r="F26" s="22">
        <v>2.241851904E-7</v>
      </c>
      <c r="G26" s="22">
        <v>1.7464000000000001E-7</v>
      </c>
      <c r="H26" s="22">
        <v>2.2347999999999999E-10</v>
      </c>
      <c r="I26" s="22">
        <v>1.9683999999999999E-10</v>
      </c>
      <c r="J26" s="22">
        <v>3.0008121840000002E-10</v>
      </c>
      <c r="K26" s="22">
        <v>7.0758450719999997E-8</v>
      </c>
      <c r="L26" s="22">
        <v>6.6788504639999998E-13</v>
      </c>
      <c r="M26" s="22">
        <v>6.7629199103999999E-8</v>
      </c>
      <c r="N26" s="22">
        <v>1.7059091832000001E-7</v>
      </c>
      <c r="O26" s="22">
        <v>2.2184992799999999E-7</v>
      </c>
      <c r="P26" s="68">
        <v>0.97538461538461496</v>
      </c>
      <c r="Q26" s="68">
        <v>0.95145631067961201</v>
      </c>
      <c r="R26" s="68">
        <v>0.91964285714285698</v>
      </c>
      <c r="S26" s="68">
        <v>0.91074681238615696</v>
      </c>
      <c r="T26" s="68">
        <v>0.91954022988505801</v>
      </c>
      <c r="U26" s="68">
        <v>1.1000000000000001E-3</v>
      </c>
      <c r="V26" s="68">
        <v>1.2E-2</v>
      </c>
      <c r="W26" s="68">
        <v>6.7999999999999996E-3</v>
      </c>
      <c r="X26" s="68">
        <v>9.4999999999999998E-3</v>
      </c>
      <c r="Y26" s="68">
        <v>1.0999999999999999E-2</v>
      </c>
      <c r="Z26" s="55">
        <f t="shared" ref="Z26:AD26" si="12">0.4*U26</f>
        <v>4.4000000000000007E-4</v>
      </c>
      <c r="AA26" s="55">
        <f t="shared" si="12"/>
        <v>4.8000000000000004E-3</v>
      </c>
      <c r="AB26" s="55">
        <f t="shared" si="12"/>
        <v>2.7200000000000002E-3</v>
      </c>
      <c r="AC26" s="55">
        <f t="shared" si="12"/>
        <v>3.8E-3</v>
      </c>
      <c r="AD26" s="55">
        <f t="shared" si="12"/>
        <v>4.4000000000000003E-3</v>
      </c>
      <c r="AE26" s="22">
        <v>7340</v>
      </c>
      <c r="AF26" s="22">
        <v>229</v>
      </c>
      <c r="AG26" s="22">
        <v>20</v>
      </c>
      <c r="AH26" s="22">
        <v>5.0000000000000001E-4</v>
      </c>
      <c r="AI26" s="22">
        <v>9.4414168937329696E-5</v>
      </c>
      <c r="AJ26" s="24">
        <v>15</v>
      </c>
      <c r="AK26" s="24">
        <v>229</v>
      </c>
    </row>
    <row r="27" spans="1:37" x14ac:dyDescent="0.25">
      <c r="A27" s="23" t="s">
        <v>37</v>
      </c>
      <c r="B27" s="24" t="s">
        <v>289</v>
      </c>
      <c r="C27" s="24"/>
      <c r="D27" s="22">
        <v>0</v>
      </c>
      <c r="E27" s="22">
        <v>0</v>
      </c>
      <c r="F27" s="22">
        <v>6.106711176E-9</v>
      </c>
      <c r="G27" s="22">
        <v>0</v>
      </c>
      <c r="H27" s="22">
        <v>0</v>
      </c>
      <c r="I27" s="22">
        <v>0</v>
      </c>
      <c r="J27" s="22">
        <v>9.3994311600000004E-12</v>
      </c>
      <c r="K27" s="22">
        <v>8.5704130080000005E-9</v>
      </c>
      <c r="L27" s="22">
        <v>1.4712153119999999E-14</v>
      </c>
      <c r="M27" s="22">
        <v>2.0737130111999998E-9</v>
      </c>
      <c r="N27" s="22">
        <v>4.4089754112000003E-9</v>
      </c>
      <c r="O27" s="22">
        <v>5.8615086239999998E-9</v>
      </c>
      <c r="P27" s="68">
        <v>0.94202898550724601</v>
      </c>
      <c r="Q27" s="68">
        <v>0.96767241379310298</v>
      </c>
      <c r="R27" s="68">
        <v>0.91346153846153799</v>
      </c>
      <c r="S27" s="68">
        <v>0.90301003344481601</v>
      </c>
      <c r="T27" s="68">
        <v>0.91029900332225899</v>
      </c>
      <c r="U27" s="68">
        <v>6.1999999999999998E-3</v>
      </c>
      <c r="V27" s="68">
        <v>5.6000000000000001E-2</v>
      </c>
      <c r="W27" s="68">
        <v>0.02</v>
      </c>
      <c r="X27" s="68">
        <v>3.3000000000000002E-2</v>
      </c>
      <c r="Y27" s="68">
        <v>4.4999999999999998E-2</v>
      </c>
      <c r="Z27" s="55">
        <f t="shared" ref="Z27:AD30" si="13">0.4*U27</f>
        <v>2.48E-3</v>
      </c>
      <c r="AA27" s="55">
        <f t="shared" si="13"/>
        <v>2.2400000000000003E-2</v>
      </c>
      <c r="AB27" s="55">
        <f t="shared" si="13"/>
        <v>8.0000000000000002E-3</v>
      </c>
      <c r="AC27" s="55">
        <f t="shared" si="13"/>
        <v>1.3200000000000002E-2</v>
      </c>
      <c r="AD27" s="55">
        <f t="shared" si="13"/>
        <v>1.7999999999999999E-2</v>
      </c>
      <c r="AE27" s="22">
        <v>7.9908675799086794E-6</v>
      </c>
      <c r="AF27" s="22">
        <v>206</v>
      </c>
      <c r="AG27" s="22">
        <v>1500</v>
      </c>
      <c r="AH27" s="22"/>
      <c r="AI27" s="22">
        <v>86724</v>
      </c>
      <c r="AJ27" s="24"/>
      <c r="AK27" s="24">
        <v>206</v>
      </c>
    </row>
    <row r="28" spans="1:37" x14ac:dyDescent="0.25">
      <c r="A28" s="23" t="s">
        <v>38</v>
      </c>
      <c r="B28" s="24" t="s">
        <v>289</v>
      </c>
      <c r="C28" s="24"/>
      <c r="D28" s="22">
        <v>0</v>
      </c>
      <c r="E28" s="22">
        <v>0</v>
      </c>
      <c r="F28" s="22">
        <v>1.0321859808E-5</v>
      </c>
      <c r="G28" s="22">
        <v>0</v>
      </c>
      <c r="H28" s="22">
        <v>0</v>
      </c>
      <c r="I28" s="22">
        <v>0</v>
      </c>
      <c r="J28" s="22">
        <v>9.5745758399999995E-9</v>
      </c>
      <c r="K28" s="22">
        <v>1.8565336080000001E-6</v>
      </c>
      <c r="L28" s="22">
        <v>2.078383536E-11</v>
      </c>
      <c r="M28" s="22">
        <v>1.9055741184E-6</v>
      </c>
      <c r="N28" s="22">
        <v>5.4738550656000002E-6</v>
      </c>
      <c r="O28" s="22">
        <v>8.710528752E-6</v>
      </c>
      <c r="P28" s="68">
        <v>0.86776859504132198</v>
      </c>
      <c r="Q28" s="68">
        <v>0.94199999999999995</v>
      </c>
      <c r="R28" s="68">
        <v>0.93081761006289299</v>
      </c>
      <c r="S28" s="68">
        <v>0.94166666666666698</v>
      </c>
      <c r="T28" s="68">
        <v>0.91360294117647101</v>
      </c>
      <c r="U28" s="68">
        <v>3.5999999999999997E-2</v>
      </c>
      <c r="V28" s="68">
        <v>0.13</v>
      </c>
      <c r="W28" s="68">
        <v>5.8999999999999997E-2</v>
      </c>
      <c r="X28" s="68">
        <v>8.4000000000000005E-2</v>
      </c>
      <c r="Y28" s="68">
        <v>0.1</v>
      </c>
      <c r="Z28" s="55">
        <f t="shared" si="13"/>
        <v>1.44E-2</v>
      </c>
      <c r="AA28" s="55">
        <f t="shared" si="13"/>
        <v>5.2000000000000005E-2</v>
      </c>
      <c r="AB28" s="55">
        <f t="shared" si="13"/>
        <v>2.3599999999999999E-2</v>
      </c>
      <c r="AC28" s="55">
        <f t="shared" si="13"/>
        <v>3.3600000000000005E-2</v>
      </c>
      <c r="AD28" s="55">
        <f t="shared" si="13"/>
        <v>4.0000000000000008E-2</v>
      </c>
      <c r="AE28" s="22">
        <v>4.1114916286149197E-6</v>
      </c>
      <c r="AF28" s="22">
        <v>209</v>
      </c>
      <c r="AG28" s="22">
        <v>1500</v>
      </c>
      <c r="AH28" s="22"/>
      <c r="AI28" s="22">
        <v>168551.966682092</v>
      </c>
      <c r="AJ28" s="24"/>
      <c r="AK28" s="24">
        <v>209</v>
      </c>
    </row>
    <row r="29" spans="1:37" x14ac:dyDescent="0.25">
      <c r="A29" s="23" t="s">
        <v>39</v>
      </c>
      <c r="B29" s="24" t="s">
        <v>289</v>
      </c>
      <c r="C29" s="24"/>
      <c r="D29" s="22">
        <v>0</v>
      </c>
      <c r="E29" s="22">
        <v>0</v>
      </c>
      <c r="F29" s="22">
        <v>1.34277588E-5</v>
      </c>
      <c r="G29" s="22">
        <v>0</v>
      </c>
      <c r="H29" s="22">
        <v>0</v>
      </c>
      <c r="I29" s="22">
        <v>0</v>
      </c>
      <c r="J29" s="22">
        <v>1.237689072E-8</v>
      </c>
      <c r="K29" s="22">
        <v>2.4053202719999999E-6</v>
      </c>
      <c r="L29" s="22">
        <v>2.6855517599999999E-11</v>
      </c>
      <c r="M29" s="22">
        <v>2.4847191936000002E-6</v>
      </c>
      <c r="N29" s="22">
        <v>7.1178797952000003E-6</v>
      </c>
      <c r="O29" s="22">
        <v>1.1361051576E-5</v>
      </c>
      <c r="P29" s="68">
        <v>0.87301587301587302</v>
      </c>
      <c r="Q29" s="68">
        <v>0.93846153846153801</v>
      </c>
      <c r="R29" s="68">
        <v>0.94059405940594099</v>
      </c>
      <c r="S29" s="68">
        <v>0.94308943089430897</v>
      </c>
      <c r="T29" s="68">
        <v>0.93390804597701205</v>
      </c>
      <c r="U29" s="68">
        <v>3.5999999999999997E-2</v>
      </c>
      <c r="V29" s="68">
        <v>0.12</v>
      </c>
      <c r="W29" s="68">
        <v>0.06</v>
      </c>
      <c r="X29" s="68">
        <v>8.4000000000000005E-2</v>
      </c>
      <c r="Y29" s="68">
        <v>0.1</v>
      </c>
      <c r="Z29" s="55">
        <f t="shared" si="13"/>
        <v>1.44E-2</v>
      </c>
      <c r="AA29" s="55">
        <f t="shared" si="13"/>
        <v>4.8000000000000001E-2</v>
      </c>
      <c r="AB29" s="55">
        <f t="shared" si="13"/>
        <v>2.4E-2</v>
      </c>
      <c r="AC29" s="55">
        <f t="shared" si="13"/>
        <v>3.3600000000000005E-2</v>
      </c>
      <c r="AD29" s="55">
        <f t="shared" si="13"/>
        <v>4.0000000000000008E-2</v>
      </c>
      <c r="AE29" s="22">
        <v>2.4733637747336398E-6</v>
      </c>
      <c r="AF29" s="22">
        <v>210</v>
      </c>
      <c r="AG29" s="22">
        <v>1500</v>
      </c>
      <c r="AH29" s="22"/>
      <c r="AI29" s="22">
        <v>280185.23076923098</v>
      </c>
      <c r="AJ29" s="24"/>
      <c r="AK29" s="24">
        <v>210</v>
      </c>
    </row>
    <row r="30" spans="1:37" x14ac:dyDescent="0.25">
      <c r="A30" s="23" t="s">
        <v>40</v>
      </c>
      <c r="B30" s="24" t="s">
        <v>289</v>
      </c>
      <c r="C30" s="24"/>
      <c r="D30" s="22">
        <v>1.5022E-10</v>
      </c>
      <c r="E30" s="22">
        <v>9.6940000000000003E-11</v>
      </c>
      <c r="F30" s="22">
        <v>7.1108740080000005E-10</v>
      </c>
      <c r="G30" s="22">
        <v>2.8305000000000001E-8</v>
      </c>
      <c r="H30" s="22">
        <v>7.1779999999999997E-11</v>
      </c>
      <c r="I30" s="22">
        <v>5.2169999999999999E-11</v>
      </c>
      <c r="J30" s="22">
        <v>9.3760785359999994E-13</v>
      </c>
      <c r="K30" s="22">
        <v>3.5729514719999999E-10</v>
      </c>
      <c r="L30" s="22">
        <v>2.0900598480000001E-15</v>
      </c>
      <c r="M30" s="22">
        <v>2.0737130111999999E-10</v>
      </c>
      <c r="N30" s="22">
        <v>5.0628488832E-10</v>
      </c>
      <c r="O30" s="22">
        <v>6.8773477679999995E-10</v>
      </c>
      <c r="P30" s="22">
        <v>1</v>
      </c>
      <c r="Q30" s="22">
        <v>1</v>
      </c>
      <c r="R30" s="22">
        <v>0.97979797979798</v>
      </c>
      <c r="S30" s="22">
        <v>0.97103448275862103</v>
      </c>
      <c r="T30" s="22">
        <v>0.96124031007751898</v>
      </c>
      <c r="U30" s="22">
        <v>1E-4</v>
      </c>
      <c r="V30" s="22">
        <v>1.2E-2</v>
      </c>
      <c r="W30" s="22">
        <v>2.5000000000000001E-3</v>
      </c>
      <c r="X30" s="22">
        <v>7.0000000000000001E-3</v>
      </c>
      <c r="Y30" s="22">
        <v>9.4999999999999998E-3</v>
      </c>
      <c r="Z30" s="55">
        <f t="shared" si="13"/>
        <v>4.0000000000000003E-5</v>
      </c>
      <c r="AA30" s="55">
        <f t="shared" si="13"/>
        <v>4.8000000000000004E-3</v>
      </c>
      <c r="AB30" s="55">
        <f t="shared" si="13"/>
        <v>1E-3</v>
      </c>
      <c r="AC30" s="55">
        <f t="shared" si="13"/>
        <v>2.8000000000000004E-3</v>
      </c>
      <c r="AD30" s="55">
        <f t="shared" si="13"/>
        <v>3.8E-3</v>
      </c>
      <c r="AE30" s="22">
        <v>159200</v>
      </c>
      <c r="AF30" s="22">
        <v>233</v>
      </c>
      <c r="AG30" s="22">
        <v>0.4</v>
      </c>
      <c r="AH30" s="22">
        <v>0.02</v>
      </c>
      <c r="AI30" s="22">
        <v>4.3530150753768799E-6</v>
      </c>
      <c r="AJ30" s="24">
        <v>289207.91735594597</v>
      </c>
      <c r="AK30" s="24">
        <v>233</v>
      </c>
    </row>
  </sheetData>
  <sheetProtection algorithmName="SHA-512" hashValue="FwrNjjoqfCFMDB+u+qnBoOOZ2ijX//Fl+SR9oDCxew2lJ7nW6XrUYvEaXADVz1gklpnQGYfp1+Yl8W50hSleNg==" saltValue="bW4lTp8W/ImHM3VBxdaphQ==" spinCount="100000" sheet="1" objects="1" scenarios="1" formatColumns="0" formatRows="0" autoFilter="0"/>
  <autoFilter ref="A1:AD76" xr:uid="{00000000-0009-0000-0000-000001000000}"/>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19</vt:i4>
      </vt:variant>
      <vt:variant>
        <vt:lpstr>Named Ranges</vt:lpstr>
      </vt:variant>
      <vt:variant>
        <vt:i4>204</vt:i4>
      </vt:variant>
    </vt:vector>
  </HeadingPairs>
  <TitlesOfParts>
    <vt:vector size="223" baseType="lpstr">
      <vt:lpstr>Instructions</vt:lpstr>
      <vt:lpstr>RadSpec</vt:lpstr>
      <vt:lpstr>d</vt:lpstr>
      <vt:lpstr>d_ind</vt:lpstr>
      <vt:lpstr>d_out</vt:lpstr>
      <vt:lpstr>d_com</vt:lpstr>
      <vt:lpstr>d_con</vt:lpstr>
      <vt:lpstr>def_acf</vt:lpstr>
      <vt:lpstr>s_RadSpec</vt:lpstr>
      <vt:lpstr>s_ind</vt:lpstr>
      <vt:lpstr>s_out</vt:lpstr>
      <vt:lpstr>s_com</vt:lpstr>
      <vt:lpstr>s_con</vt:lpstr>
      <vt:lpstr>ss</vt:lpstr>
      <vt:lpstr>up_RadSpec</vt:lpstr>
      <vt:lpstr>up_ind</vt:lpstr>
      <vt:lpstr>up_out</vt:lpstr>
      <vt:lpstr>up_com</vt:lpstr>
      <vt:lpstr>up_con</vt:lpstr>
      <vt:lpstr>A__sc</vt:lpstr>
      <vt:lpstr>A_excav</vt:lpstr>
      <vt:lpstr>A_R</vt:lpstr>
      <vt:lpstr>A_sc</vt:lpstr>
      <vt:lpstr>A_surf</vt:lpstr>
      <vt:lpstr>A_till</vt:lpstr>
      <vt:lpstr>A_wind</vt:lpstr>
      <vt:lpstr>Ac</vt:lpstr>
      <vt:lpstr>Ac_doz</vt:lpstr>
      <vt:lpstr>Ac_grade</vt:lpstr>
      <vt:lpstr>As</vt:lpstr>
      <vt:lpstr>B__sc</vt:lpstr>
      <vt:lpstr>B_doz</vt:lpstr>
      <vt:lpstr>B_grade</vt:lpstr>
      <vt:lpstr>B_sc</vt:lpstr>
      <vt:lpstr>B_wind</vt:lpstr>
      <vt:lpstr>C_</vt:lpstr>
      <vt:lpstr>C__sc</vt:lpstr>
      <vt:lpstr>C_sc</vt:lpstr>
      <vt:lpstr>C_wind</vt:lpstr>
      <vt:lpstr>d_excav</vt:lpstr>
      <vt:lpstr>distance</vt:lpstr>
      <vt:lpstr>DW_cw</vt:lpstr>
      <vt:lpstr>ED_com</vt:lpstr>
      <vt:lpstr>ED_con</vt:lpstr>
      <vt:lpstr>ED_ind</vt:lpstr>
      <vt:lpstr>ED_out</vt:lpstr>
      <vt:lpstr>EF_cw</vt:lpstr>
      <vt:lpstr>EF_iw</vt:lpstr>
      <vt:lpstr>EF_ow</vt:lpstr>
      <vt:lpstr>EF_w</vt:lpstr>
      <vt:lpstr>ET_cw_i</vt:lpstr>
      <vt:lpstr>ET_cw_o</vt:lpstr>
      <vt:lpstr>ET_iw_i</vt:lpstr>
      <vt:lpstr>ET_iw_o</vt:lpstr>
      <vt:lpstr>ET_ow_i</vt:lpstr>
      <vt:lpstr>ET_ow_o</vt:lpstr>
      <vt:lpstr>ET_w_i</vt:lpstr>
      <vt:lpstr>ET_w_o</vt:lpstr>
      <vt:lpstr>EW_cw</vt:lpstr>
      <vt:lpstr>F_D</vt:lpstr>
      <vt:lpstr>F_x</vt:lpstr>
      <vt:lpstr>GSF_a</vt:lpstr>
      <vt:lpstr>GSF_i</vt:lpstr>
      <vt:lpstr>IRA_cw</vt:lpstr>
      <vt:lpstr>IRA_iw</vt:lpstr>
      <vt:lpstr>IRA_ow</vt:lpstr>
      <vt:lpstr>IRA_w</vt:lpstr>
      <vt:lpstr>IRS_cw</vt:lpstr>
      <vt:lpstr>IRS_iw</vt:lpstr>
      <vt:lpstr>IRS_ow</vt:lpstr>
      <vt:lpstr>IRS_w</vt:lpstr>
      <vt:lpstr>J__T</vt:lpstr>
      <vt:lpstr>K</vt:lpstr>
      <vt:lpstr>L_R</vt:lpstr>
      <vt:lpstr>M_doz</vt:lpstr>
      <vt:lpstr>M_dry</vt:lpstr>
      <vt:lpstr>M_excav</vt:lpstr>
      <vt:lpstr>M_grade</vt:lpstr>
      <vt:lpstr>M_m_doz</vt:lpstr>
      <vt:lpstr>M_m_excav</vt:lpstr>
      <vt:lpstr>M_pc_wind</vt:lpstr>
      <vt:lpstr>M_till</vt:lpstr>
      <vt:lpstr>N_A_doz</vt:lpstr>
      <vt:lpstr>N_A_dump</vt:lpstr>
      <vt:lpstr>N_A_grade</vt:lpstr>
      <vt:lpstr>N_A_till</vt:lpstr>
      <vt:lpstr>N_cars</vt:lpstr>
      <vt:lpstr>N_trucks</vt:lpstr>
      <vt:lpstr>p_days</vt:lpstr>
      <vt:lpstr>PEF__sc</vt:lpstr>
      <vt:lpstr>PEF_wind</vt:lpstr>
      <vt:lpstr>PEFsc</vt:lpstr>
      <vt:lpstr>Q_C__sc</vt:lpstr>
      <vt:lpstr>Q_C_sc</vt:lpstr>
      <vt:lpstr>Q_C_wind</vt:lpstr>
      <vt:lpstr>s</vt:lpstr>
      <vt:lpstr>s_A__sc</vt:lpstr>
      <vt:lpstr>s_A_excav</vt:lpstr>
      <vt:lpstr>s_A_R</vt:lpstr>
      <vt:lpstr>s_A_sc</vt:lpstr>
      <vt:lpstr>s_A_surf</vt:lpstr>
      <vt:lpstr>s_A_till</vt:lpstr>
      <vt:lpstr>s_A_wind</vt:lpstr>
      <vt:lpstr>s_Ac</vt:lpstr>
      <vt:lpstr>s_Ac_doz</vt:lpstr>
      <vt:lpstr>s_Ac_grade</vt:lpstr>
      <vt:lpstr>Instructions!s_As</vt:lpstr>
      <vt:lpstr>s_As</vt:lpstr>
      <vt:lpstr>s_B__sc</vt:lpstr>
      <vt:lpstr>s_B_doz</vt:lpstr>
      <vt:lpstr>s_B_grade</vt:lpstr>
      <vt:lpstr>s_B_sc</vt:lpstr>
      <vt:lpstr>s_B_wind</vt:lpstr>
      <vt:lpstr>Instructions!s_C</vt:lpstr>
      <vt:lpstr>s_C</vt:lpstr>
      <vt:lpstr>s_C__sc</vt:lpstr>
      <vt:lpstr>s_C_sc</vt:lpstr>
      <vt:lpstr>s_C_wind</vt:lpstr>
      <vt:lpstr>s_d_excav</vt:lpstr>
      <vt:lpstr>s_distance</vt:lpstr>
      <vt:lpstr>s_doz</vt:lpstr>
      <vt:lpstr>S_doz_speed</vt:lpstr>
      <vt:lpstr>s_DW_cw</vt:lpstr>
      <vt:lpstr>s_ED_com</vt:lpstr>
      <vt:lpstr>s_ED_con</vt:lpstr>
      <vt:lpstr>s_ED_ind</vt:lpstr>
      <vt:lpstr>s_ED_out</vt:lpstr>
      <vt:lpstr>s_EF_cw</vt:lpstr>
      <vt:lpstr>Instructions!s_EF_iw</vt:lpstr>
      <vt:lpstr>s_EF_iw</vt:lpstr>
      <vt:lpstr>Instructions!s_EF_ow</vt:lpstr>
      <vt:lpstr>s_EF_ow</vt:lpstr>
      <vt:lpstr>Instructions!s_EF_w</vt:lpstr>
      <vt:lpstr>s_EF_w</vt:lpstr>
      <vt:lpstr>s_ET_cw_i</vt:lpstr>
      <vt:lpstr>s_ET_cw_o</vt:lpstr>
      <vt:lpstr>s_ET_iw_i</vt:lpstr>
      <vt:lpstr>s_ET_iw_o</vt:lpstr>
      <vt:lpstr>s_ET_ow_i</vt:lpstr>
      <vt:lpstr>s_ET_ow_o</vt:lpstr>
      <vt:lpstr>s_ET_w_i</vt:lpstr>
      <vt:lpstr>s_ET_w_o</vt:lpstr>
      <vt:lpstr>s_EW_cw</vt:lpstr>
      <vt:lpstr>s_F_D</vt:lpstr>
      <vt:lpstr>s_F_x</vt:lpstr>
      <vt:lpstr>S_grade</vt:lpstr>
      <vt:lpstr>s_GSF_a</vt:lpstr>
      <vt:lpstr>s_GSF_i</vt:lpstr>
      <vt:lpstr>s_IRA_cw</vt:lpstr>
      <vt:lpstr>Instructions!s_IRA_iw</vt:lpstr>
      <vt:lpstr>s_IRA_iw</vt:lpstr>
      <vt:lpstr>Instructions!s_IRA_ow</vt:lpstr>
      <vt:lpstr>s_IRA_ow</vt:lpstr>
      <vt:lpstr>Instructions!s_IRA_w</vt:lpstr>
      <vt:lpstr>s_IRA_w</vt:lpstr>
      <vt:lpstr>s_IRS_cw</vt:lpstr>
      <vt:lpstr>s_IRS_iw</vt:lpstr>
      <vt:lpstr>s_IRS_ow</vt:lpstr>
      <vt:lpstr>s_IRS_w</vt:lpstr>
      <vt:lpstr>s_J__T</vt:lpstr>
      <vt:lpstr>s_K</vt:lpstr>
      <vt:lpstr>s_L_R</vt:lpstr>
      <vt:lpstr>s_M_doz</vt:lpstr>
      <vt:lpstr>s_M_dry</vt:lpstr>
      <vt:lpstr>s_M_excav</vt:lpstr>
      <vt:lpstr>s_M_grade</vt:lpstr>
      <vt:lpstr>s_M_m_doz</vt:lpstr>
      <vt:lpstr>s_M_m_excav</vt:lpstr>
      <vt:lpstr>s_M_pc_wind</vt:lpstr>
      <vt:lpstr>s_M_till</vt:lpstr>
      <vt:lpstr>s_N_A_doz</vt:lpstr>
      <vt:lpstr>s_N_A_dump</vt:lpstr>
      <vt:lpstr>s_N_A_grade</vt:lpstr>
      <vt:lpstr>s_N_A_till</vt:lpstr>
      <vt:lpstr>s_N_cars</vt:lpstr>
      <vt:lpstr>s_N_trucks</vt:lpstr>
      <vt:lpstr>s_p_days</vt:lpstr>
      <vt:lpstr>s_PEF__sc</vt:lpstr>
      <vt:lpstr>s_PEF_wind</vt:lpstr>
      <vt:lpstr>s_PEFsc</vt:lpstr>
      <vt:lpstr>s_Q_C__sc</vt:lpstr>
      <vt:lpstr>s_Q_C_sc</vt:lpstr>
      <vt:lpstr>s_Q_C_wind</vt:lpstr>
      <vt:lpstr>s_s</vt:lpstr>
      <vt:lpstr>s_s_doz</vt:lpstr>
      <vt:lpstr>s_S_doz_speed</vt:lpstr>
      <vt:lpstr>s_S_grade</vt:lpstr>
      <vt:lpstr>s_s_till</vt:lpstr>
      <vt:lpstr>s_t_c</vt:lpstr>
      <vt:lpstr>s_t_com</vt:lpstr>
      <vt:lpstr>s_t_con</vt:lpstr>
      <vt:lpstr>s_t_ind</vt:lpstr>
      <vt:lpstr>s_t_out</vt:lpstr>
      <vt:lpstr>s_T_t</vt:lpstr>
      <vt:lpstr>s_till</vt:lpstr>
      <vt:lpstr>Instructions!s_TR</vt:lpstr>
      <vt:lpstr>s_TR</vt:lpstr>
      <vt:lpstr>s_Um</vt:lpstr>
      <vt:lpstr>s_Ut</vt:lpstr>
      <vt:lpstr>s_V</vt:lpstr>
      <vt:lpstr>Instructions!s_W</vt:lpstr>
      <vt:lpstr>s_W</vt:lpstr>
      <vt:lpstr>s_W_R</vt:lpstr>
      <vt:lpstr>s_ρ_soil</vt:lpstr>
      <vt:lpstr>s_Σ_VKT</vt:lpstr>
      <vt:lpstr>s_Σ_VKT_doz</vt:lpstr>
      <vt:lpstr>s_Σ_VKT_grade</vt:lpstr>
      <vt:lpstr>t_c</vt:lpstr>
      <vt:lpstr>t_com</vt:lpstr>
      <vt:lpstr>t_con</vt:lpstr>
      <vt:lpstr>t_ind</vt:lpstr>
      <vt:lpstr>t_out</vt:lpstr>
      <vt:lpstr>T_t</vt:lpstr>
      <vt:lpstr>TR</vt:lpstr>
      <vt:lpstr>Um</vt:lpstr>
      <vt:lpstr>Ut</vt:lpstr>
      <vt:lpstr>V</vt:lpstr>
      <vt:lpstr>W</vt:lpstr>
      <vt:lpstr>W_R</vt:lpstr>
      <vt:lpstr>ρ_soil</vt:lpstr>
      <vt:lpstr>Σ_VKT</vt:lpstr>
      <vt:lpstr>Σ_VKT_doz</vt:lpstr>
      <vt:lpstr>Σ_VKT_grade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Manning, Karessa L.</dc:creator>
  <cp:lastModifiedBy>Manning, Karessa</cp:lastModifiedBy>
  <dcterms:created xsi:type="dcterms:W3CDTF">2016-04-21T20:28:57Z</dcterms:created>
  <dcterms:modified xsi:type="dcterms:W3CDTF">2021-06-15T00:51:21Z</dcterms:modified>
</cp:coreProperties>
</file>